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0" yWindow="0" windowWidth="12120" windowHeight="6705" tabRatio="850" firstSheet="2" activeTab="5"/>
  </bookViews>
  <sheets>
    <sheet name="Branch ATM_1" sheetId="3" r:id="rId1"/>
    <sheet name="CD Ratio_2" sheetId="7" r:id="rId2"/>
    <sheet name="CD Ratio_3(i)" sheetId="9" r:id="rId3"/>
    <sheet name="CD Ratio_Dist_3(ii)" sheetId="112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Brick&amp; mortar_25" sheetId="121" r:id="rId29"/>
  </sheets>
  <definedNames>
    <definedName name="_xlnm._FilterDatabase" localSheetId="1" hidden="1">'CD Ratio_2'!$B$4:$K$63</definedName>
    <definedName name="_xlnm._FilterDatabase" localSheetId="2" hidden="1">'CD Ratio_3(i)'!$C$5:$J$63</definedName>
    <definedName name="_xlnm._FilterDatabase" localSheetId="3" hidden="1">'CD Ratio_Dist_3(ii)'!$A$4:$F$55</definedName>
    <definedName name="_xlnm._FilterDatabase" localSheetId="20" hidden="1">'Education Loan_18'!$A$5:$T$63</definedName>
    <definedName name="_xlnm._FilterDatabase" localSheetId="4" hidden="1">OutstandingAgri_4!$N$5:$Q$63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9">'ACP_Agri_9(i)'!$A$1:$L$63</definedName>
    <definedName name="_xlnm.Print_Area" localSheetId="10">'ACP_Agri_9(ii)'!$A$1:$Q$63</definedName>
    <definedName name="_xlnm.Print_Area" localSheetId="11">ACP_MSME_10!$A$1:$Q$63</definedName>
    <definedName name="_xlnm.Print_Area" localSheetId="14">ACP_NPS_12!$A$1:$Y$63</definedName>
    <definedName name="_xlnm.Print_Area" localSheetId="12">'ACP_PS_11(i)'!$A$1:$Q$63</definedName>
    <definedName name="_xlnm.Print_Area" localSheetId="13">'ACP_PS_11(ii)'!$A$1:$S$63</definedName>
    <definedName name="_xlnm.Print_Area" localSheetId="0">'Branch ATM_1'!$A$1:$G$62</definedName>
    <definedName name="_xlnm.Print_Area" localSheetId="1">'CD Ratio_2'!$A$1:$K$63</definedName>
    <definedName name="_xlnm.Print_Area" localSheetId="2">'CD Ratio_3(i)'!$A$1:$H$63</definedName>
    <definedName name="_xlnm.Print_Area" localSheetId="3">'CD Ratio_Dist_3(ii)'!$A$1:$F$55</definedName>
    <definedName name="_xlnm.Print_Area" localSheetId="20">'Education Loan_18'!$A$1:$R$63</definedName>
    <definedName name="_xlnm.Print_Area" localSheetId="19">KCC_17!$A$1:$F$63</definedName>
    <definedName name="_xlnm.Print_Area" localSheetId="24">Minority_Disb_21!$A$1:$P$63</definedName>
    <definedName name="_xlnm.Print_Area" localSheetId="23">Minority_OS_20!$A$1:$P$63</definedName>
    <definedName name="_xlnm.Print_Area" localSheetId="5">MSMEoutstanding_5!$A$1:$N$63</definedName>
    <definedName name="_xlnm.Print_Area" localSheetId="15">NPA_13!$A$1:$I$63</definedName>
    <definedName name="_xlnm.Print_Area" localSheetId="18">'NPA_Govt. Sch16'!$A$1:$V$63</definedName>
    <definedName name="_xlnm.Print_Area" localSheetId="17">NPA_NPS_15!$A$1:$L$63</definedName>
    <definedName name="_xlnm.Print_Area" localSheetId="16">NPA_PS_14!$A$1:$O$63</definedName>
    <definedName name="_xlnm.Print_Area" localSheetId="8">NPS_OS_8!$A$1:$V$63</definedName>
    <definedName name="_xlnm.Print_Area" localSheetId="4">OutstandingAgri_4!$A$1:$M$63</definedName>
    <definedName name="_xlnm.Print_Area" localSheetId="6">'Pri Sec_outstanding_6'!$A$1:$Q$63</definedName>
    <definedName name="_xlnm.Print_Area" localSheetId="25">SCST_OS_22!$A$1:$F$63</definedName>
    <definedName name="_xlnm.Print_Area" localSheetId="21">SHGs_19!$A$1:$J$63</definedName>
    <definedName name="_xlnm.Print_Area" localSheetId="7">'Weaker Sec_7'!$A$1:$S$63</definedName>
    <definedName name="_xlnm.Print_Area" localSheetId="27">Women_24!$A$1:$H$63</definedName>
    <definedName name="_xlnm.Print_Titles" localSheetId="0">'Branch ATM_1'!$3:$3</definedName>
    <definedName name="rngInvoice">#REF!</definedName>
  </definedNames>
  <calcPr calcId="144525"/>
</workbook>
</file>

<file path=xl/calcChain.xml><?xml version="1.0" encoding="utf-8"?>
<calcChain xmlns="http://schemas.openxmlformats.org/spreadsheetml/2006/main">
  <c r="N71" i="103" l="1"/>
  <c r="N70" i="103"/>
  <c r="N68" i="104" l="1"/>
  <c r="P67" i="107"/>
  <c r="Q66" i="105"/>
  <c r="K67" i="71" l="1"/>
  <c r="K66" i="71"/>
  <c r="K65" i="71"/>
  <c r="D7" i="15" l="1"/>
  <c r="D8" i="15"/>
  <c r="D9" i="15"/>
  <c r="D10" i="15"/>
  <c r="D11" i="15"/>
  <c r="D12" i="15"/>
  <c r="D14" i="15"/>
  <c r="P13" i="77" l="1"/>
  <c r="O13" i="77"/>
  <c r="N13" i="77"/>
  <c r="M13" i="77"/>
  <c r="D63" i="42" l="1"/>
  <c r="E63" i="42"/>
  <c r="F63" i="42"/>
  <c r="C63" i="42"/>
  <c r="D62" i="42"/>
  <c r="E62" i="42"/>
  <c r="F62" i="42"/>
  <c r="C62" i="42"/>
  <c r="D60" i="42"/>
  <c r="E60" i="42"/>
  <c r="F60" i="42"/>
  <c r="C60" i="42"/>
  <c r="D56" i="42"/>
  <c r="E56" i="42"/>
  <c r="F56" i="42"/>
  <c r="C56" i="42"/>
  <c r="D33" i="42"/>
  <c r="E33" i="42"/>
  <c r="F33" i="42"/>
  <c r="C33" i="42"/>
  <c r="D27" i="73" l="1"/>
  <c r="D67" i="93"/>
  <c r="C67" i="93"/>
  <c r="R7" i="9" l="1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" i="9"/>
  <c r="D77" i="7"/>
  <c r="E77" i="7"/>
  <c r="C77" i="7"/>
  <c r="D74" i="7"/>
  <c r="E74" i="7"/>
  <c r="C74" i="7"/>
  <c r="E71" i="7"/>
  <c r="D71" i="7"/>
  <c r="C71" i="7"/>
  <c r="E72" i="7"/>
  <c r="D72" i="7"/>
  <c r="C72" i="7"/>
  <c r="D69" i="7"/>
  <c r="E69" i="7"/>
  <c r="F69" i="7"/>
  <c r="G69" i="7"/>
  <c r="H69" i="7"/>
  <c r="C69" i="7"/>
  <c r="Q67" i="109" l="1"/>
  <c r="R67" i="109"/>
  <c r="O67" i="109"/>
  <c r="D33" i="104" l="1"/>
  <c r="E33" i="104"/>
  <c r="F33" i="104"/>
  <c r="F63" i="104" s="1"/>
  <c r="G33" i="104"/>
  <c r="H33" i="104"/>
  <c r="I33" i="104"/>
  <c r="J33" i="104"/>
  <c r="J63" i="104" s="1"/>
  <c r="C33" i="104"/>
  <c r="D63" i="104"/>
  <c r="H63" i="104"/>
  <c r="V7" i="105"/>
  <c r="V8" i="105"/>
  <c r="V9" i="105"/>
  <c r="V10" i="105"/>
  <c r="V11" i="105"/>
  <c r="V12" i="105"/>
  <c r="V13" i="105"/>
  <c r="V14" i="105"/>
  <c r="V15" i="105"/>
  <c r="V16" i="105"/>
  <c r="V17" i="105"/>
  <c r="V18" i="105"/>
  <c r="V19" i="105"/>
  <c r="V20" i="105"/>
  <c r="V21" i="105"/>
  <c r="V22" i="105"/>
  <c r="V23" i="105"/>
  <c r="V24" i="105"/>
  <c r="V25" i="105"/>
  <c r="V26" i="105"/>
  <c r="V27" i="105"/>
  <c r="V28" i="105"/>
  <c r="V29" i="105"/>
  <c r="V30" i="105"/>
  <c r="V31" i="105"/>
  <c r="V32" i="105"/>
  <c r="V33" i="105"/>
  <c r="V34" i="105"/>
  <c r="V35" i="105"/>
  <c r="V36" i="105"/>
  <c r="V37" i="105"/>
  <c r="V38" i="105"/>
  <c r="V39" i="105"/>
  <c r="V40" i="105"/>
  <c r="V41" i="105"/>
  <c r="V42" i="105"/>
  <c r="V43" i="105"/>
  <c r="V44" i="105"/>
  <c r="V45" i="105"/>
  <c r="V46" i="105"/>
  <c r="V47" i="105"/>
  <c r="V48" i="105"/>
  <c r="V49" i="105"/>
  <c r="V50" i="105"/>
  <c r="V51" i="105"/>
  <c r="V52" i="105"/>
  <c r="V53" i="105"/>
  <c r="V54" i="105"/>
  <c r="V55" i="105"/>
  <c r="V56" i="105"/>
  <c r="V57" i="105"/>
  <c r="V58" i="105"/>
  <c r="V59" i="105"/>
  <c r="V60" i="105"/>
  <c r="V61" i="105"/>
  <c r="V62" i="105"/>
  <c r="V63" i="105"/>
  <c r="U7" i="105"/>
  <c r="U8" i="105"/>
  <c r="U9" i="105"/>
  <c r="U10" i="105"/>
  <c r="U11" i="105"/>
  <c r="U12" i="105"/>
  <c r="U13" i="105"/>
  <c r="U14" i="105"/>
  <c r="U15" i="105"/>
  <c r="U16" i="105"/>
  <c r="U17" i="105"/>
  <c r="U18" i="105"/>
  <c r="U19" i="105"/>
  <c r="U20" i="105"/>
  <c r="U21" i="105"/>
  <c r="U22" i="105"/>
  <c r="U23" i="105"/>
  <c r="U24" i="105"/>
  <c r="U25" i="105"/>
  <c r="U26" i="105"/>
  <c r="U27" i="105"/>
  <c r="U28" i="105"/>
  <c r="U29" i="105"/>
  <c r="U30" i="105"/>
  <c r="U31" i="105"/>
  <c r="U32" i="105"/>
  <c r="U33" i="105"/>
  <c r="U34" i="105"/>
  <c r="U35" i="105"/>
  <c r="U36" i="105"/>
  <c r="U37" i="105"/>
  <c r="U38" i="105"/>
  <c r="U39" i="105"/>
  <c r="U40" i="105"/>
  <c r="U41" i="105"/>
  <c r="U42" i="105"/>
  <c r="U43" i="105"/>
  <c r="U44" i="105"/>
  <c r="U45" i="105"/>
  <c r="U46" i="105"/>
  <c r="U47" i="105"/>
  <c r="U48" i="105"/>
  <c r="U49" i="105"/>
  <c r="U50" i="105"/>
  <c r="U51" i="105"/>
  <c r="U52" i="105"/>
  <c r="U53" i="105"/>
  <c r="U54" i="105"/>
  <c r="U55" i="105"/>
  <c r="U56" i="105"/>
  <c r="U57" i="105"/>
  <c r="U58" i="105"/>
  <c r="U59" i="105"/>
  <c r="U60" i="105"/>
  <c r="U61" i="105"/>
  <c r="U62" i="105"/>
  <c r="U63" i="105"/>
  <c r="D63" i="107"/>
  <c r="E63" i="107"/>
  <c r="F63" i="107"/>
  <c r="G63" i="107"/>
  <c r="H63" i="107"/>
  <c r="I63" i="107"/>
  <c r="J63" i="107"/>
  <c r="K63" i="107"/>
  <c r="L63" i="107"/>
  <c r="M63" i="107"/>
  <c r="N63" i="107"/>
  <c r="D62" i="107"/>
  <c r="E62" i="107"/>
  <c r="F62" i="107"/>
  <c r="G62" i="107"/>
  <c r="H62" i="107"/>
  <c r="I62" i="107"/>
  <c r="J62" i="107"/>
  <c r="K62" i="107"/>
  <c r="L62" i="107"/>
  <c r="M62" i="107"/>
  <c r="N62" i="107"/>
  <c r="P62" i="107" s="1"/>
  <c r="D60" i="107"/>
  <c r="E60" i="107"/>
  <c r="F60" i="107"/>
  <c r="G60" i="107"/>
  <c r="H60" i="107"/>
  <c r="I60" i="107"/>
  <c r="J60" i="107"/>
  <c r="K60" i="107"/>
  <c r="L60" i="107"/>
  <c r="M60" i="107"/>
  <c r="N60" i="107"/>
  <c r="P60" i="107" s="1"/>
  <c r="D56" i="107"/>
  <c r="E56" i="107"/>
  <c r="F56" i="107"/>
  <c r="G56" i="107"/>
  <c r="H56" i="107"/>
  <c r="I56" i="107"/>
  <c r="J56" i="107"/>
  <c r="K56" i="107"/>
  <c r="L56" i="107"/>
  <c r="M56" i="107"/>
  <c r="N56" i="107"/>
  <c r="D33" i="107"/>
  <c r="E33" i="107"/>
  <c r="F33" i="107"/>
  <c r="G33" i="107"/>
  <c r="H33" i="107"/>
  <c r="I33" i="107"/>
  <c r="J33" i="107"/>
  <c r="K33" i="107"/>
  <c r="L33" i="107"/>
  <c r="M33" i="107"/>
  <c r="N33" i="107"/>
  <c r="P7" i="107"/>
  <c r="P8" i="107"/>
  <c r="P9" i="107"/>
  <c r="P10" i="107"/>
  <c r="P11" i="107"/>
  <c r="P12" i="107"/>
  <c r="P13" i="107"/>
  <c r="W13" i="105" s="1"/>
  <c r="P14" i="107"/>
  <c r="P15" i="107"/>
  <c r="P16" i="107"/>
  <c r="P17" i="107"/>
  <c r="P18" i="107"/>
  <c r="P19" i="107"/>
  <c r="P20" i="107"/>
  <c r="P21" i="107"/>
  <c r="P22" i="107"/>
  <c r="P23" i="107"/>
  <c r="P24" i="107"/>
  <c r="P25" i="107"/>
  <c r="P26" i="107"/>
  <c r="P27" i="107"/>
  <c r="P28" i="107"/>
  <c r="P29" i="107"/>
  <c r="W29" i="105" s="1"/>
  <c r="P30" i="107"/>
  <c r="P31" i="107"/>
  <c r="P32" i="107"/>
  <c r="P34" i="107"/>
  <c r="P35" i="107"/>
  <c r="P36" i="107"/>
  <c r="P37" i="107"/>
  <c r="P38" i="107"/>
  <c r="P39" i="107"/>
  <c r="P40" i="107"/>
  <c r="P41" i="107"/>
  <c r="P42" i="107"/>
  <c r="P43" i="107"/>
  <c r="P44" i="107"/>
  <c r="P45" i="107"/>
  <c r="P46" i="107"/>
  <c r="P47" i="107"/>
  <c r="W47" i="105" s="1"/>
  <c r="P48" i="107"/>
  <c r="P49" i="107"/>
  <c r="P50" i="107"/>
  <c r="P51" i="107"/>
  <c r="P52" i="107"/>
  <c r="P53" i="107"/>
  <c r="P54" i="107"/>
  <c r="P55" i="107"/>
  <c r="P56" i="107"/>
  <c r="P57" i="107"/>
  <c r="P58" i="107"/>
  <c r="P59" i="107"/>
  <c r="P61" i="107"/>
  <c r="O7" i="107"/>
  <c r="O8" i="107"/>
  <c r="O9" i="107"/>
  <c r="O10" i="107"/>
  <c r="O11" i="107"/>
  <c r="O12" i="107"/>
  <c r="O13" i="107"/>
  <c r="O14" i="107"/>
  <c r="O15" i="107"/>
  <c r="O16" i="107"/>
  <c r="O17" i="107"/>
  <c r="O18" i="107"/>
  <c r="O19" i="107"/>
  <c r="O20" i="107"/>
  <c r="O21" i="107"/>
  <c r="O22" i="107"/>
  <c r="O23" i="107"/>
  <c r="O24" i="107"/>
  <c r="O25" i="107"/>
  <c r="O26" i="107"/>
  <c r="O27" i="107"/>
  <c r="O28" i="107"/>
  <c r="O29" i="107"/>
  <c r="O30" i="107"/>
  <c r="O31" i="107"/>
  <c r="O32" i="107"/>
  <c r="O34" i="107"/>
  <c r="O35" i="107"/>
  <c r="O36" i="107"/>
  <c r="O37" i="107"/>
  <c r="O38" i="107"/>
  <c r="O39" i="107"/>
  <c r="O40" i="107"/>
  <c r="O41" i="107"/>
  <c r="O42" i="107"/>
  <c r="O43" i="107"/>
  <c r="O44" i="107"/>
  <c r="O45" i="107"/>
  <c r="O46" i="107"/>
  <c r="O47" i="107"/>
  <c r="O48" i="107"/>
  <c r="O49" i="107"/>
  <c r="O50" i="107"/>
  <c r="O51" i="107"/>
  <c r="O52" i="107"/>
  <c r="O53" i="107"/>
  <c r="O54" i="107"/>
  <c r="O55" i="107"/>
  <c r="O56" i="107"/>
  <c r="O57" i="107"/>
  <c r="O58" i="107"/>
  <c r="O59" i="107"/>
  <c r="O60" i="107"/>
  <c r="O61" i="107"/>
  <c r="O62" i="107"/>
  <c r="E63" i="104"/>
  <c r="G63" i="104"/>
  <c r="I63" i="104"/>
  <c r="D62" i="104"/>
  <c r="L62" i="104" s="1"/>
  <c r="E62" i="104"/>
  <c r="F62" i="104"/>
  <c r="G62" i="104"/>
  <c r="H62" i="104"/>
  <c r="I62" i="104"/>
  <c r="J62" i="104"/>
  <c r="D60" i="104"/>
  <c r="L60" i="104" s="1"/>
  <c r="E60" i="104"/>
  <c r="F60" i="104"/>
  <c r="G60" i="104"/>
  <c r="H60" i="104"/>
  <c r="I60" i="104"/>
  <c r="J60" i="104"/>
  <c r="D56" i="104"/>
  <c r="E56" i="104"/>
  <c r="F56" i="104"/>
  <c r="G56" i="104"/>
  <c r="H56" i="104"/>
  <c r="I56" i="104"/>
  <c r="J56" i="104"/>
  <c r="L7" i="104"/>
  <c r="L8" i="104"/>
  <c r="L9" i="104"/>
  <c r="L10" i="104"/>
  <c r="L11" i="104"/>
  <c r="L12" i="104"/>
  <c r="L13" i="104"/>
  <c r="L14" i="104"/>
  <c r="L15" i="104"/>
  <c r="L16" i="104"/>
  <c r="L17" i="104"/>
  <c r="L18" i="104"/>
  <c r="L19" i="104"/>
  <c r="L20" i="104"/>
  <c r="L21" i="104"/>
  <c r="L22" i="104"/>
  <c r="L23" i="104"/>
  <c r="L24" i="104"/>
  <c r="L25" i="104"/>
  <c r="L26" i="104"/>
  <c r="L27" i="104"/>
  <c r="L28" i="104"/>
  <c r="L29" i="104"/>
  <c r="L30" i="104"/>
  <c r="L31" i="104"/>
  <c r="L32" i="104"/>
  <c r="L34" i="104"/>
  <c r="L35" i="104"/>
  <c r="W35" i="105" s="1"/>
  <c r="L36" i="104"/>
  <c r="L37" i="104"/>
  <c r="L38" i="104"/>
  <c r="L39" i="104"/>
  <c r="L40" i="104"/>
  <c r="L41" i="104"/>
  <c r="L42" i="104"/>
  <c r="L43" i="104"/>
  <c r="W43" i="105" s="1"/>
  <c r="L44" i="104"/>
  <c r="L45" i="104"/>
  <c r="L46" i="104"/>
  <c r="L47" i="104"/>
  <c r="L48" i="104"/>
  <c r="L49" i="104"/>
  <c r="L50" i="104"/>
  <c r="L51" i="104"/>
  <c r="W51" i="105" s="1"/>
  <c r="L52" i="104"/>
  <c r="L53" i="104"/>
  <c r="L54" i="104"/>
  <c r="L55" i="104"/>
  <c r="L56" i="104"/>
  <c r="L57" i="104"/>
  <c r="L58" i="104"/>
  <c r="L59" i="104"/>
  <c r="W59" i="105" s="1"/>
  <c r="L61" i="104"/>
  <c r="K7" i="104"/>
  <c r="K8" i="104"/>
  <c r="K9" i="104"/>
  <c r="K10" i="104"/>
  <c r="K11" i="104"/>
  <c r="K12" i="104"/>
  <c r="K13" i="104"/>
  <c r="K14" i="104"/>
  <c r="K15" i="104"/>
  <c r="K16" i="104"/>
  <c r="K17" i="104"/>
  <c r="K18" i="104"/>
  <c r="K19" i="104"/>
  <c r="K20" i="104"/>
  <c r="K21" i="104"/>
  <c r="K22" i="104"/>
  <c r="K23" i="104"/>
  <c r="K24" i="104"/>
  <c r="K25" i="104"/>
  <c r="K26" i="104"/>
  <c r="K27" i="104"/>
  <c r="K28" i="104"/>
  <c r="K29" i="104"/>
  <c r="K30" i="104"/>
  <c r="K31" i="104"/>
  <c r="K32" i="104"/>
  <c r="K33" i="104"/>
  <c r="O33" i="107" s="1"/>
  <c r="K34" i="104"/>
  <c r="K35" i="104"/>
  <c r="K36" i="104"/>
  <c r="K37" i="104"/>
  <c r="K38" i="104"/>
  <c r="K39" i="104"/>
  <c r="K40" i="104"/>
  <c r="K41" i="104"/>
  <c r="K42" i="104"/>
  <c r="K43" i="104"/>
  <c r="K44" i="104"/>
  <c r="K45" i="104"/>
  <c r="K46" i="104"/>
  <c r="K47" i="104"/>
  <c r="K48" i="104"/>
  <c r="K49" i="104"/>
  <c r="K50" i="104"/>
  <c r="K51" i="104"/>
  <c r="K52" i="104"/>
  <c r="K53" i="104"/>
  <c r="K54" i="104"/>
  <c r="K55" i="104"/>
  <c r="K56" i="104"/>
  <c r="K57" i="104"/>
  <c r="K58" i="104"/>
  <c r="K59" i="104"/>
  <c r="K60" i="104"/>
  <c r="K61" i="104"/>
  <c r="K62" i="104"/>
  <c r="D33" i="103"/>
  <c r="N33" i="103" s="1"/>
  <c r="E33" i="103"/>
  <c r="F33" i="103"/>
  <c r="G33" i="103"/>
  <c r="H33" i="103"/>
  <c r="I33" i="103"/>
  <c r="J33" i="103"/>
  <c r="K33" i="103"/>
  <c r="L33" i="103"/>
  <c r="N7" i="103"/>
  <c r="N8" i="103"/>
  <c r="N9" i="103"/>
  <c r="N10" i="103"/>
  <c r="N11" i="103"/>
  <c r="N12" i="103"/>
  <c r="N13" i="103"/>
  <c r="N14" i="103"/>
  <c r="N15" i="103"/>
  <c r="N16" i="103"/>
  <c r="N17" i="103"/>
  <c r="N18" i="103"/>
  <c r="N19" i="103"/>
  <c r="N20" i="103"/>
  <c r="N21" i="103"/>
  <c r="N22" i="103"/>
  <c r="N23" i="103"/>
  <c r="N24" i="103"/>
  <c r="N25" i="103"/>
  <c r="N26" i="103"/>
  <c r="N27" i="103"/>
  <c r="N28" i="103"/>
  <c r="N29" i="103"/>
  <c r="N30" i="103"/>
  <c r="N31" i="103"/>
  <c r="N32" i="103"/>
  <c r="N34" i="103"/>
  <c r="N35" i="103"/>
  <c r="N36" i="103"/>
  <c r="N37" i="103"/>
  <c r="W37" i="105" s="1"/>
  <c r="N38" i="103"/>
  <c r="N39" i="103"/>
  <c r="N40" i="103"/>
  <c r="N41" i="103"/>
  <c r="W41" i="105" s="1"/>
  <c r="N42" i="103"/>
  <c r="N43" i="103"/>
  <c r="N44" i="103"/>
  <c r="N45" i="103"/>
  <c r="W45" i="105" s="1"/>
  <c r="N46" i="103"/>
  <c r="N47" i="103"/>
  <c r="N48" i="103"/>
  <c r="N49" i="103"/>
  <c r="W49" i="105" s="1"/>
  <c r="N50" i="103"/>
  <c r="N51" i="103"/>
  <c r="N52" i="103"/>
  <c r="N53" i="103"/>
  <c r="W53" i="105" s="1"/>
  <c r="N54" i="103"/>
  <c r="N55" i="103"/>
  <c r="N56" i="103"/>
  <c r="N57" i="103"/>
  <c r="N58" i="103"/>
  <c r="N59" i="103"/>
  <c r="N60" i="103"/>
  <c r="N61" i="103"/>
  <c r="N62" i="103"/>
  <c r="M7" i="103"/>
  <c r="M8" i="103"/>
  <c r="M9" i="103"/>
  <c r="M10" i="103"/>
  <c r="M11" i="103"/>
  <c r="M12" i="103"/>
  <c r="M13" i="103"/>
  <c r="M14" i="103"/>
  <c r="M15" i="103"/>
  <c r="M16" i="103"/>
  <c r="M17" i="103"/>
  <c r="M18" i="103"/>
  <c r="M19" i="103"/>
  <c r="M20" i="103"/>
  <c r="M21" i="103"/>
  <c r="M22" i="103"/>
  <c r="M23" i="103"/>
  <c r="M24" i="103"/>
  <c r="M25" i="103"/>
  <c r="M26" i="103"/>
  <c r="M27" i="103"/>
  <c r="M28" i="103"/>
  <c r="M29" i="103"/>
  <c r="M30" i="103"/>
  <c r="M31" i="103"/>
  <c r="M32" i="103"/>
  <c r="M33" i="103"/>
  <c r="M34" i="103"/>
  <c r="M35" i="103"/>
  <c r="M36" i="103"/>
  <c r="M37" i="103"/>
  <c r="M38" i="103"/>
  <c r="M39" i="103"/>
  <c r="M40" i="103"/>
  <c r="M41" i="103"/>
  <c r="M42" i="103"/>
  <c r="M43" i="103"/>
  <c r="M44" i="103"/>
  <c r="M45" i="103"/>
  <c r="M46" i="103"/>
  <c r="M47" i="103"/>
  <c r="M48" i="103"/>
  <c r="M49" i="103"/>
  <c r="M50" i="103"/>
  <c r="M51" i="103"/>
  <c r="M52" i="103"/>
  <c r="M53" i="103"/>
  <c r="M54" i="103"/>
  <c r="M55" i="103"/>
  <c r="M56" i="103"/>
  <c r="M57" i="103"/>
  <c r="M58" i="103"/>
  <c r="M59" i="103"/>
  <c r="M60" i="103"/>
  <c r="M61" i="103"/>
  <c r="M62" i="103"/>
  <c r="D33" i="9"/>
  <c r="E33" i="9"/>
  <c r="F33" i="9"/>
  <c r="Y33" i="105" s="1"/>
  <c r="C33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7" i="9"/>
  <c r="N58" i="9"/>
  <c r="N59" i="9"/>
  <c r="N61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W21" i="105"/>
  <c r="W39" i="105"/>
  <c r="W55" i="105"/>
  <c r="W8" i="105"/>
  <c r="X8" i="105" s="1"/>
  <c r="W10" i="105"/>
  <c r="X10" i="105" s="1"/>
  <c r="W12" i="105"/>
  <c r="X12" i="105" s="1"/>
  <c r="W14" i="105"/>
  <c r="X14" i="105" s="1"/>
  <c r="W16" i="105"/>
  <c r="X16" i="105" s="1"/>
  <c r="W18" i="105"/>
  <c r="X18" i="105" s="1"/>
  <c r="W20" i="105"/>
  <c r="X20" i="105" s="1"/>
  <c r="W22" i="105"/>
  <c r="X22" i="105" s="1"/>
  <c r="W24" i="105"/>
  <c r="X24" i="105" s="1"/>
  <c r="W26" i="105"/>
  <c r="X26" i="105" s="1"/>
  <c r="W28" i="105"/>
  <c r="X28" i="105" s="1"/>
  <c r="W30" i="105"/>
  <c r="X30" i="105" s="1"/>
  <c r="W32" i="105"/>
  <c r="X32" i="105" s="1"/>
  <c r="W36" i="105"/>
  <c r="X36" i="105" s="1"/>
  <c r="W38" i="105"/>
  <c r="X38" i="105" s="1"/>
  <c r="W40" i="105"/>
  <c r="X40" i="105" s="1"/>
  <c r="W42" i="105"/>
  <c r="X42" i="105" s="1"/>
  <c r="W44" i="105"/>
  <c r="X44" i="105" s="1"/>
  <c r="W46" i="105"/>
  <c r="X46" i="105" s="1"/>
  <c r="W48" i="105"/>
  <c r="X48" i="105" s="1"/>
  <c r="W50" i="105"/>
  <c r="X50" i="105" s="1"/>
  <c r="W52" i="105"/>
  <c r="X52" i="105" s="1"/>
  <c r="W54" i="105"/>
  <c r="X54" i="105" s="1"/>
  <c r="W58" i="105"/>
  <c r="X58" i="105" s="1"/>
  <c r="H33" i="105"/>
  <c r="I33" i="105"/>
  <c r="J33" i="105"/>
  <c r="K33" i="105"/>
  <c r="L33" i="105"/>
  <c r="M33" i="105"/>
  <c r="N33" i="105"/>
  <c r="O33" i="105"/>
  <c r="P33" i="105"/>
  <c r="Q33" i="105"/>
  <c r="R33" i="105"/>
  <c r="S33" i="105"/>
  <c r="T33" i="105"/>
  <c r="G33" i="105"/>
  <c r="Y7" i="105"/>
  <c r="Y8" i="105"/>
  <c r="Y9" i="105"/>
  <c r="Y10" i="105"/>
  <c r="Y11" i="105"/>
  <c r="Y12" i="105"/>
  <c r="Y13" i="105"/>
  <c r="Y14" i="105"/>
  <c r="Y15" i="105"/>
  <c r="Y16" i="105"/>
  <c r="Y17" i="105"/>
  <c r="Y18" i="105"/>
  <c r="Y19" i="105"/>
  <c r="Y20" i="105"/>
  <c r="Y21" i="105"/>
  <c r="Y22" i="105"/>
  <c r="Y23" i="105"/>
  <c r="Y24" i="105"/>
  <c r="Y25" i="105"/>
  <c r="Y26" i="105"/>
  <c r="Y27" i="105"/>
  <c r="Y28" i="105"/>
  <c r="Y29" i="105"/>
  <c r="Y30" i="105"/>
  <c r="Y31" i="105"/>
  <c r="Y32" i="105"/>
  <c r="Y34" i="105"/>
  <c r="Y35" i="105"/>
  <c r="Y36" i="105"/>
  <c r="Y37" i="105"/>
  <c r="Y38" i="105"/>
  <c r="Y39" i="105"/>
  <c r="Y40" i="105"/>
  <c r="Y41" i="105"/>
  <c r="Y42" i="105"/>
  <c r="Y43" i="105"/>
  <c r="Y44" i="105"/>
  <c r="Y45" i="105"/>
  <c r="Y46" i="105"/>
  <c r="Y47" i="105"/>
  <c r="Y48" i="105"/>
  <c r="Y49" i="105"/>
  <c r="Y50" i="105"/>
  <c r="Y51" i="105"/>
  <c r="Y52" i="105"/>
  <c r="Y53" i="105"/>
  <c r="Y54" i="105"/>
  <c r="Y55" i="105"/>
  <c r="Y57" i="105"/>
  <c r="Y58" i="105"/>
  <c r="Y59" i="105"/>
  <c r="Y61" i="105"/>
  <c r="Y6" i="105"/>
  <c r="X6" i="105"/>
  <c r="T8" i="105"/>
  <c r="T10" i="105"/>
  <c r="F22" i="105"/>
  <c r="L33" i="104" l="1"/>
  <c r="P33" i="107" s="1"/>
  <c r="W33" i="105" s="1"/>
  <c r="X33" i="105" s="1"/>
  <c r="X21" i="105"/>
  <c r="X29" i="105"/>
  <c r="X13" i="105"/>
  <c r="W25" i="105"/>
  <c r="X25" i="105" s="1"/>
  <c r="W17" i="105"/>
  <c r="X17" i="105" s="1"/>
  <c r="W9" i="105"/>
  <c r="X9" i="105" s="1"/>
  <c r="W31" i="105"/>
  <c r="X31" i="105" s="1"/>
  <c r="W27" i="105"/>
  <c r="X27" i="105" s="1"/>
  <c r="W23" i="105"/>
  <c r="X23" i="105" s="1"/>
  <c r="W19" i="105"/>
  <c r="X19" i="105" s="1"/>
  <c r="W15" i="105"/>
  <c r="X15" i="105" s="1"/>
  <c r="W11" i="105"/>
  <c r="X11" i="105" s="1"/>
  <c r="W56" i="105"/>
  <c r="X56" i="105" s="1"/>
  <c r="W34" i="105"/>
  <c r="X34" i="105" s="1"/>
  <c r="W7" i="105"/>
  <c r="X7" i="105" s="1"/>
  <c r="W61" i="105"/>
  <c r="X61" i="105" s="1"/>
  <c r="W57" i="105"/>
  <c r="X57" i="105" s="1"/>
  <c r="W60" i="105"/>
  <c r="X60" i="105" s="1"/>
  <c r="X59" i="105"/>
  <c r="X55" i="105"/>
  <c r="X51" i="105"/>
  <c r="X47" i="105"/>
  <c r="X43" i="105"/>
  <c r="X39" i="105"/>
  <c r="X35" i="105"/>
  <c r="X53" i="105"/>
  <c r="X49" i="105"/>
  <c r="X45" i="105"/>
  <c r="X41" i="105"/>
  <c r="X37" i="105"/>
  <c r="I44" i="7"/>
  <c r="J44" i="7"/>
  <c r="W62" i="105" l="1"/>
  <c r="X62" i="105" s="1"/>
  <c r="D27" i="110"/>
  <c r="C13" i="110"/>
  <c r="P7" i="109"/>
  <c r="P8" i="109"/>
  <c r="P9" i="109"/>
  <c r="P10" i="109"/>
  <c r="P11" i="109"/>
  <c r="P12" i="109"/>
  <c r="P13" i="109"/>
  <c r="P14" i="109"/>
  <c r="P15" i="109"/>
  <c r="P16" i="109"/>
  <c r="P17" i="109"/>
  <c r="P18" i="109"/>
  <c r="P19" i="109"/>
  <c r="P20" i="109"/>
  <c r="P21" i="109"/>
  <c r="P22" i="109"/>
  <c r="P23" i="109"/>
  <c r="P24" i="109"/>
  <c r="P25" i="109"/>
  <c r="P26" i="109"/>
  <c r="P28" i="109"/>
  <c r="P29" i="109"/>
  <c r="P30" i="109"/>
  <c r="P31" i="109"/>
  <c r="P32" i="109"/>
  <c r="P34" i="109"/>
  <c r="P35" i="109"/>
  <c r="P36" i="109"/>
  <c r="P37" i="109"/>
  <c r="P38" i="109"/>
  <c r="P39" i="109"/>
  <c r="P40" i="109"/>
  <c r="P41" i="109"/>
  <c r="P42" i="109"/>
  <c r="P43" i="109"/>
  <c r="P44" i="109"/>
  <c r="P45" i="109"/>
  <c r="P46" i="109"/>
  <c r="P47" i="109"/>
  <c r="P48" i="109"/>
  <c r="P49" i="109"/>
  <c r="P50" i="109"/>
  <c r="P51" i="109"/>
  <c r="P52" i="109"/>
  <c r="P53" i="109"/>
  <c r="P54" i="109"/>
  <c r="P55" i="109"/>
  <c r="P56" i="109"/>
  <c r="P57" i="109"/>
  <c r="P58" i="109"/>
  <c r="P59" i="109"/>
  <c r="P60" i="109"/>
  <c r="P61" i="109"/>
  <c r="P62" i="109"/>
  <c r="O7" i="109"/>
  <c r="O8" i="109"/>
  <c r="O9" i="109"/>
  <c r="O10" i="109"/>
  <c r="O11" i="109"/>
  <c r="O12" i="109"/>
  <c r="O13" i="109"/>
  <c r="O14" i="109"/>
  <c r="O15" i="109"/>
  <c r="O16" i="109"/>
  <c r="O17" i="109"/>
  <c r="O18" i="109"/>
  <c r="O19" i="109"/>
  <c r="O20" i="109"/>
  <c r="O21" i="109"/>
  <c r="O22" i="109"/>
  <c r="O23" i="109"/>
  <c r="O24" i="109"/>
  <c r="O25" i="109"/>
  <c r="O26" i="109"/>
  <c r="O27" i="109"/>
  <c r="O28" i="109"/>
  <c r="O29" i="109"/>
  <c r="O30" i="109"/>
  <c r="O31" i="109"/>
  <c r="O32" i="109"/>
  <c r="O33" i="109"/>
  <c r="O34" i="109"/>
  <c r="O35" i="109"/>
  <c r="O36" i="109"/>
  <c r="O37" i="109"/>
  <c r="O38" i="109"/>
  <c r="O39" i="109"/>
  <c r="O40" i="109"/>
  <c r="O41" i="109"/>
  <c r="O42" i="109"/>
  <c r="O43" i="109"/>
  <c r="O44" i="109"/>
  <c r="O45" i="109"/>
  <c r="O46" i="109"/>
  <c r="O47" i="109"/>
  <c r="O48" i="109"/>
  <c r="O49" i="109"/>
  <c r="O50" i="109"/>
  <c r="O51" i="109"/>
  <c r="O52" i="109"/>
  <c r="O53" i="109"/>
  <c r="O54" i="109"/>
  <c r="O55" i="109"/>
  <c r="O56" i="109"/>
  <c r="O57" i="109"/>
  <c r="O58" i="109"/>
  <c r="O59" i="109"/>
  <c r="O60" i="109"/>
  <c r="O61" i="109"/>
  <c r="O62" i="109"/>
  <c r="O63" i="109"/>
  <c r="I13" i="109"/>
  <c r="H13" i="109"/>
  <c r="R7" i="109"/>
  <c r="R8" i="109"/>
  <c r="R9" i="109"/>
  <c r="R10" i="109"/>
  <c r="R11" i="109"/>
  <c r="R12" i="109"/>
  <c r="R13" i="109"/>
  <c r="R14" i="109"/>
  <c r="R15" i="109"/>
  <c r="R16" i="109"/>
  <c r="R17" i="109"/>
  <c r="R18" i="109"/>
  <c r="R19" i="109"/>
  <c r="R20" i="109"/>
  <c r="R21" i="109"/>
  <c r="R22" i="109"/>
  <c r="R23" i="109"/>
  <c r="R24" i="109"/>
  <c r="R25" i="109"/>
  <c r="R26" i="109"/>
  <c r="R27" i="109"/>
  <c r="R28" i="109"/>
  <c r="R29" i="109"/>
  <c r="R30" i="109"/>
  <c r="R31" i="109"/>
  <c r="R32" i="109"/>
  <c r="R33" i="109"/>
  <c r="R34" i="109"/>
  <c r="R35" i="109"/>
  <c r="R36" i="109"/>
  <c r="R37" i="109"/>
  <c r="R38" i="109"/>
  <c r="R39" i="109"/>
  <c r="R40" i="109"/>
  <c r="R41" i="109"/>
  <c r="R42" i="109"/>
  <c r="R43" i="109"/>
  <c r="R44" i="109"/>
  <c r="R45" i="109"/>
  <c r="R46" i="109"/>
  <c r="R47" i="109"/>
  <c r="R48" i="109"/>
  <c r="R49" i="109"/>
  <c r="R50" i="109"/>
  <c r="R51" i="109"/>
  <c r="R52" i="109"/>
  <c r="R53" i="109"/>
  <c r="R54" i="109"/>
  <c r="R55" i="109"/>
  <c r="R56" i="109"/>
  <c r="R57" i="109"/>
  <c r="R58" i="109"/>
  <c r="R59" i="109"/>
  <c r="R60" i="109"/>
  <c r="R61" i="109"/>
  <c r="R62" i="109"/>
  <c r="R63" i="109"/>
  <c r="Q7" i="109"/>
  <c r="Q8" i="109"/>
  <c r="Q9" i="109"/>
  <c r="Q10" i="109"/>
  <c r="Q11" i="109"/>
  <c r="Q12" i="109"/>
  <c r="Q13" i="109"/>
  <c r="Q14" i="109"/>
  <c r="Q15" i="109"/>
  <c r="Q16" i="109"/>
  <c r="Q17" i="109"/>
  <c r="Q18" i="109"/>
  <c r="Q19" i="109"/>
  <c r="Q20" i="109"/>
  <c r="Q21" i="109"/>
  <c r="Q22" i="109"/>
  <c r="Q23" i="109"/>
  <c r="Q24" i="109"/>
  <c r="Q25" i="109"/>
  <c r="Q26" i="109"/>
  <c r="Q27" i="109"/>
  <c r="Q28" i="109"/>
  <c r="Q29" i="109"/>
  <c r="Q30" i="109"/>
  <c r="Q31" i="109"/>
  <c r="Q32" i="109"/>
  <c r="Q33" i="109"/>
  <c r="Q34" i="109"/>
  <c r="Q35" i="109"/>
  <c r="Q36" i="109"/>
  <c r="Q37" i="109"/>
  <c r="Q38" i="109"/>
  <c r="Q39" i="109"/>
  <c r="Q40" i="109"/>
  <c r="Q41" i="109"/>
  <c r="Q42" i="109"/>
  <c r="Q43" i="109"/>
  <c r="Q44" i="109"/>
  <c r="Q45" i="109"/>
  <c r="Q46" i="109"/>
  <c r="Q47" i="109"/>
  <c r="Q48" i="109"/>
  <c r="Q49" i="109"/>
  <c r="Q50" i="109"/>
  <c r="Q51" i="109"/>
  <c r="Q52" i="109"/>
  <c r="Q53" i="109"/>
  <c r="Q54" i="109"/>
  <c r="Q55" i="109"/>
  <c r="Q56" i="109"/>
  <c r="Q57" i="109"/>
  <c r="Q58" i="109"/>
  <c r="Q59" i="109"/>
  <c r="Q60" i="109"/>
  <c r="Q61" i="109"/>
  <c r="Q62" i="109"/>
  <c r="Q63" i="109"/>
  <c r="H65" i="109"/>
  <c r="P7" i="108"/>
  <c r="P8" i="108"/>
  <c r="P9" i="108"/>
  <c r="P10" i="108"/>
  <c r="P11" i="108"/>
  <c r="P12" i="108"/>
  <c r="P13" i="108"/>
  <c r="P14" i="108"/>
  <c r="P15" i="108"/>
  <c r="P16" i="108"/>
  <c r="P17" i="108"/>
  <c r="P18" i="108"/>
  <c r="P19" i="108"/>
  <c r="P20" i="108"/>
  <c r="P21" i="108"/>
  <c r="P22" i="108"/>
  <c r="P23" i="108"/>
  <c r="P24" i="108"/>
  <c r="P25" i="108"/>
  <c r="P26" i="108"/>
  <c r="P27" i="108"/>
  <c r="P28" i="108"/>
  <c r="P29" i="108"/>
  <c r="P30" i="108"/>
  <c r="P31" i="108"/>
  <c r="P32" i="108"/>
  <c r="P33" i="108"/>
  <c r="P34" i="108"/>
  <c r="P35" i="108"/>
  <c r="P36" i="108"/>
  <c r="P37" i="108"/>
  <c r="P38" i="108"/>
  <c r="P39" i="108"/>
  <c r="P40" i="108"/>
  <c r="P41" i="108"/>
  <c r="P42" i="108"/>
  <c r="P43" i="108"/>
  <c r="P44" i="108"/>
  <c r="P45" i="108"/>
  <c r="P46" i="108"/>
  <c r="P47" i="108"/>
  <c r="P48" i="108"/>
  <c r="P49" i="108"/>
  <c r="P50" i="108"/>
  <c r="P51" i="108"/>
  <c r="P52" i="108"/>
  <c r="P53" i="108"/>
  <c r="P54" i="108"/>
  <c r="P55" i="108"/>
  <c r="P56" i="108"/>
  <c r="P57" i="108"/>
  <c r="P58" i="108"/>
  <c r="P59" i="108"/>
  <c r="P60" i="108"/>
  <c r="P61" i="108"/>
  <c r="P62" i="108"/>
  <c r="P63" i="108"/>
  <c r="O7" i="108"/>
  <c r="O8" i="108"/>
  <c r="O9" i="108"/>
  <c r="O10" i="108"/>
  <c r="O11" i="108"/>
  <c r="O12" i="108"/>
  <c r="O13" i="108"/>
  <c r="O14" i="108"/>
  <c r="O15" i="108"/>
  <c r="O16" i="108"/>
  <c r="O17" i="108"/>
  <c r="O18" i="108"/>
  <c r="O19" i="108"/>
  <c r="O20" i="108"/>
  <c r="O21" i="108"/>
  <c r="O22" i="108"/>
  <c r="O23" i="108"/>
  <c r="O24" i="108"/>
  <c r="O25" i="108"/>
  <c r="O26" i="108"/>
  <c r="O27" i="108"/>
  <c r="O28" i="108"/>
  <c r="O29" i="108"/>
  <c r="O30" i="108"/>
  <c r="O31" i="108"/>
  <c r="O32" i="108"/>
  <c r="O33" i="108"/>
  <c r="O34" i="108"/>
  <c r="O35" i="108"/>
  <c r="O36" i="108"/>
  <c r="O37" i="108"/>
  <c r="O38" i="108"/>
  <c r="O39" i="108"/>
  <c r="O40" i="108"/>
  <c r="O41" i="108"/>
  <c r="O42" i="108"/>
  <c r="O43" i="108"/>
  <c r="O44" i="108"/>
  <c r="O45" i="108"/>
  <c r="O46" i="108"/>
  <c r="O47" i="108"/>
  <c r="O48" i="108"/>
  <c r="O49" i="108"/>
  <c r="O50" i="108"/>
  <c r="O51" i="108"/>
  <c r="O52" i="108"/>
  <c r="O53" i="108"/>
  <c r="O54" i="108"/>
  <c r="O55" i="108"/>
  <c r="O56" i="108"/>
  <c r="O57" i="108"/>
  <c r="O58" i="108"/>
  <c r="O59" i="108"/>
  <c r="O60" i="108"/>
  <c r="O61" i="108"/>
  <c r="O62" i="108"/>
  <c r="O63" i="108"/>
  <c r="K63" i="105"/>
  <c r="K62" i="105"/>
  <c r="L62" i="105"/>
  <c r="K60" i="105"/>
  <c r="L60" i="105"/>
  <c r="K56" i="105"/>
  <c r="L56" i="105"/>
  <c r="K7" i="105"/>
  <c r="L7" i="105"/>
  <c r="K8" i="105"/>
  <c r="L8" i="105"/>
  <c r="K9" i="105"/>
  <c r="L9" i="105"/>
  <c r="K10" i="105"/>
  <c r="L10" i="105"/>
  <c r="K11" i="105"/>
  <c r="L11" i="105"/>
  <c r="K12" i="105"/>
  <c r="L12" i="105"/>
  <c r="K13" i="105"/>
  <c r="L13" i="105"/>
  <c r="K14" i="105"/>
  <c r="L14" i="105"/>
  <c r="K15" i="105"/>
  <c r="L15" i="105"/>
  <c r="K16" i="105"/>
  <c r="L16" i="105"/>
  <c r="K17" i="105"/>
  <c r="L17" i="105"/>
  <c r="K18" i="105"/>
  <c r="L18" i="105"/>
  <c r="K19" i="105"/>
  <c r="L19" i="105"/>
  <c r="K20" i="105"/>
  <c r="L20" i="105"/>
  <c r="K21" i="105"/>
  <c r="L21" i="105"/>
  <c r="K22" i="105"/>
  <c r="L22" i="105"/>
  <c r="L63" i="105" s="1"/>
  <c r="K23" i="105"/>
  <c r="L23" i="105"/>
  <c r="K24" i="105"/>
  <c r="L24" i="105"/>
  <c r="K25" i="105"/>
  <c r="L25" i="105"/>
  <c r="K26" i="105"/>
  <c r="L26" i="105"/>
  <c r="K27" i="105"/>
  <c r="L27" i="105"/>
  <c r="K28" i="105"/>
  <c r="L28" i="105"/>
  <c r="K29" i="105"/>
  <c r="L29" i="105"/>
  <c r="K30" i="105"/>
  <c r="L30" i="105"/>
  <c r="K31" i="105"/>
  <c r="L31" i="105"/>
  <c r="K32" i="105"/>
  <c r="L32" i="105"/>
  <c r="K34" i="105"/>
  <c r="L34" i="105"/>
  <c r="K35" i="105"/>
  <c r="L35" i="105"/>
  <c r="K36" i="105"/>
  <c r="L36" i="105"/>
  <c r="K37" i="105"/>
  <c r="L37" i="105"/>
  <c r="K38" i="105"/>
  <c r="L38" i="105"/>
  <c r="K39" i="105"/>
  <c r="L39" i="105"/>
  <c r="K40" i="105"/>
  <c r="L40" i="105"/>
  <c r="K41" i="105"/>
  <c r="L41" i="105"/>
  <c r="K42" i="105"/>
  <c r="L42" i="105"/>
  <c r="K43" i="105"/>
  <c r="L43" i="105"/>
  <c r="K44" i="105"/>
  <c r="L44" i="105"/>
  <c r="K45" i="105"/>
  <c r="L45" i="105"/>
  <c r="K46" i="105"/>
  <c r="L46" i="105"/>
  <c r="K47" i="105"/>
  <c r="L47" i="105"/>
  <c r="K48" i="105"/>
  <c r="L48" i="105"/>
  <c r="K49" i="105"/>
  <c r="L49" i="105"/>
  <c r="K50" i="105"/>
  <c r="L50" i="105"/>
  <c r="K51" i="105"/>
  <c r="L51" i="105"/>
  <c r="K52" i="105"/>
  <c r="L52" i="105"/>
  <c r="K53" i="105"/>
  <c r="L53" i="105"/>
  <c r="K54" i="105"/>
  <c r="L54" i="105"/>
  <c r="K55" i="105"/>
  <c r="L55" i="105"/>
  <c r="K57" i="105"/>
  <c r="L57" i="105"/>
  <c r="K58" i="105"/>
  <c r="L58" i="105"/>
  <c r="K59" i="105"/>
  <c r="L59" i="105"/>
  <c r="K61" i="105"/>
  <c r="L61" i="105"/>
  <c r="L6" i="105"/>
  <c r="K6" i="105"/>
  <c r="C63" i="107"/>
  <c r="X15" i="110" l="1"/>
  <c r="X16" i="110"/>
  <c r="X17" i="110"/>
  <c r="X18" i="110"/>
  <c r="X19" i="110"/>
  <c r="W15" i="110"/>
  <c r="W16" i="110"/>
  <c r="W17" i="110"/>
  <c r="W18" i="110"/>
  <c r="W19" i="110"/>
  <c r="M7" i="110"/>
  <c r="M8" i="110"/>
  <c r="M9" i="110"/>
  <c r="M10" i="110"/>
  <c r="M11" i="110"/>
  <c r="M12" i="110"/>
  <c r="M13" i="110"/>
  <c r="P7" i="93"/>
  <c r="P8" i="93"/>
  <c r="P9" i="93"/>
  <c r="P10" i="93"/>
  <c r="P11" i="93"/>
  <c r="P12" i="93"/>
  <c r="P13" i="93"/>
  <c r="P14" i="93"/>
  <c r="P15" i="93"/>
  <c r="P16" i="93"/>
  <c r="P17" i="93"/>
  <c r="P18" i="93"/>
  <c r="P19" i="93"/>
  <c r="P20" i="93"/>
  <c r="P21" i="93"/>
  <c r="P22" i="93"/>
  <c r="P23" i="93"/>
  <c r="P24" i="93"/>
  <c r="P25" i="93"/>
  <c r="P26" i="93"/>
  <c r="P27" i="93"/>
  <c r="P28" i="93"/>
  <c r="P29" i="93"/>
  <c r="P30" i="93"/>
  <c r="P31" i="93"/>
  <c r="P35" i="93"/>
  <c r="O35" i="93"/>
  <c r="P46" i="93"/>
  <c r="P47" i="93"/>
  <c r="P48" i="93"/>
  <c r="P49" i="93"/>
  <c r="P50" i="93"/>
  <c r="P51" i="93"/>
  <c r="P52" i="93"/>
  <c r="O46" i="93"/>
  <c r="O47" i="93"/>
  <c r="O48" i="93"/>
  <c r="O49" i="93"/>
  <c r="O50" i="93"/>
  <c r="O51" i="93"/>
  <c r="O52" i="93"/>
  <c r="F76" i="104" l="1"/>
  <c r="F75" i="104"/>
  <c r="J72" i="104"/>
  <c r="E66" i="42" l="1"/>
  <c r="T12" i="105" l="1"/>
  <c r="I7" i="106" l="1"/>
  <c r="J7" i="106"/>
  <c r="I8" i="106"/>
  <c r="J8" i="106"/>
  <c r="I9" i="106"/>
  <c r="J9" i="106"/>
  <c r="I10" i="106"/>
  <c r="J10" i="106"/>
  <c r="I11" i="106"/>
  <c r="J11" i="106"/>
  <c r="I12" i="106"/>
  <c r="J12" i="106"/>
  <c r="I13" i="106"/>
  <c r="J13" i="106"/>
  <c r="I14" i="106"/>
  <c r="J14" i="106"/>
  <c r="I15" i="106"/>
  <c r="J15" i="106"/>
  <c r="I16" i="106"/>
  <c r="J16" i="106"/>
  <c r="I17" i="106"/>
  <c r="J17" i="106"/>
  <c r="I18" i="106"/>
  <c r="J18" i="106"/>
  <c r="I19" i="106"/>
  <c r="J19" i="106"/>
  <c r="I20" i="106"/>
  <c r="J20" i="106"/>
  <c r="I21" i="106"/>
  <c r="J21" i="106"/>
  <c r="I22" i="106"/>
  <c r="J22" i="106"/>
  <c r="I23" i="106"/>
  <c r="J23" i="106"/>
  <c r="I24" i="106"/>
  <c r="J24" i="106"/>
  <c r="I25" i="106"/>
  <c r="J25" i="106"/>
  <c r="I26" i="106"/>
  <c r="J26" i="106"/>
  <c r="I27" i="106"/>
  <c r="J27" i="106"/>
  <c r="I28" i="106"/>
  <c r="J28" i="106"/>
  <c r="I29" i="106"/>
  <c r="J29" i="106"/>
  <c r="I30" i="106"/>
  <c r="J30" i="106"/>
  <c r="I31" i="106"/>
  <c r="J31" i="106"/>
  <c r="I32" i="106"/>
  <c r="J32" i="106"/>
  <c r="I33" i="106"/>
  <c r="J33" i="106"/>
  <c r="I34" i="106"/>
  <c r="J34" i="106"/>
  <c r="I35" i="106"/>
  <c r="J35" i="106"/>
  <c r="I36" i="106"/>
  <c r="J36" i="106"/>
  <c r="I37" i="106"/>
  <c r="J37" i="106"/>
  <c r="I38" i="106"/>
  <c r="J38" i="106"/>
  <c r="I39" i="106"/>
  <c r="J39" i="106"/>
  <c r="I40" i="106"/>
  <c r="J40" i="106"/>
  <c r="I41" i="106"/>
  <c r="J41" i="106"/>
  <c r="I42" i="106"/>
  <c r="J42" i="106"/>
  <c r="I43" i="106"/>
  <c r="J43" i="106"/>
  <c r="I44" i="106"/>
  <c r="J44" i="106"/>
  <c r="I45" i="106"/>
  <c r="J45" i="106"/>
  <c r="I46" i="106"/>
  <c r="J46" i="106"/>
  <c r="I47" i="106"/>
  <c r="J47" i="106"/>
  <c r="I48" i="106"/>
  <c r="J48" i="106"/>
  <c r="I49" i="106"/>
  <c r="J49" i="106"/>
  <c r="I50" i="106"/>
  <c r="J50" i="106"/>
  <c r="I51" i="106"/>
  <c r="J51" i="106"/>
  <c r="I52" i="106"/>
  <c r="J52" i="106"/>
  <c r="I53" i="106"/>
  <c r="J53" i="106"/>
  <c r="I54" i="106"/>
  <c r="J54" i="106"/>
  <c r="I55" i="106"/>
  <c r="J55" i="106"/>
  <c r="I56" i="106"/>
  <c r="J56" i="106"/>
  <c r="I57" i="106"/>
  <c r="J57" i="106"/>
  <c r="I58" i="106"/>
  <c r="J58" i="106"/>
  <c r="I59" i="106"/>
  <c r="J59" i="106"/>
  <c r="I60" i="106"/>
  <c r="J60" i="106"/>
  <c r="I61" i="106"/>
  <c r="J61" i="106"/>
  <c r="I62" i="106"/>
  <c r="J62" i="106"/>
  <c r="I63" i="106"/>
  <c r="J63" i="106"/>
  <c r="J6" i="106"/>
  <c r="I6" i="106"/>
  <c r="N71" i="106" l="1"/>
  <c r="N69" i="106"/>
  <c r="E7" i="106"/>
  <c r="F7" i="106"/>
  <c r="E8" i="106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8" i="106"/>
  <c r="F18" i="106"/>
  <c r="E19" i="106"/>
  <c r="F19" i="106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7" i="106"/>
  <c r="F27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1" i="106"/>
  <c r="F41" i="106"/>
  <c r="E42" i="106"/>
  <c r="F42" i="106"/>
  <c r="E43" i="106"/>
  <c r="F43" i="106"/>
  <c r="E44" i="106"/>
  <c r="F44" i="106"/>
  <c r="E45" i="106"/>
  <c r="F45" i="106"/>
  <c r="E46" i="106"/>
  <c r="F46" i="106"/>
  <c r="E47" i="106"/>
  <c r="F47" i="106"/>
  <c r="E48" i="106"/>
  <c r="F48" i="106"/>
  <c r="E49" i="106"/>
  <c r="F49" i="106"/>
  <c r="E50" i="106"/>
  <c r="F50" i="106"/>
  <c r="E51" i="106"/>
  <c r="F51" i="106"/>
  <c r="E52" i="106"/>
  <c r="F52" i="106"/>
  <c r="E53" i="106"/>
  <c r="F53" i="106"/>
  <c r="E54" i="106"/>
  <c r="F54" i="106"/>
  <c r="E55" i="106"/>
  <c r="F55" i="106"/>
  <c r="E56" i="106"/>
  <c r="F56" i="106"/>
  <c r="E57" i="106"/>
  <c r="F57" i="106"/>
  <c r="E58" i="106"/>
  <c r="F58" i="106"/>
  <c r="E59" i="106"/>
  <c r="F59" i="106"/>
  <c r="E60" i="106"/>
  <c r="F60" i="106"/>
  <c r="E61" i="106"/>
  <c r="F61" i="106"/>
  <c r="E62" i="106"/>
  <c r="F62" i="106"/>
  <c r="E63" i="106"/>
  <c r="F63" i="106"/>
  <c r="F6" i="106"/>
  <c r="E6" i="106"/>
  <c r="P7" i="111" l="1"/>
  <c r="P8" i="111"/>
  <c r="P9" i="111"/>
  <c r="P10" i="111"/>
  <c r="P11" i="111"/>
  <c r="P12" i="111"/>
  <c r="P13" i="111"/>
  <c r="P14" i="111"/>
  <c r="P15" i="111"/>
  <c r="P16" i="111"/>
  <c r="P17" i="111"/>
  <c r="P18" i="111"/>
  <c r="P19" i="111"/>
  <c r="P20" i="111"/>
  <c r="P21" i="111"/>
  <c r="P22" i="111"/>
  <c r="P23" i="111"/>
  <c r="P24" i="111"/>
  <c r="P25" i="111"/>
  <c r="P26" i="111"/>
  <c r="P27" i="111"/>
  <c r="P28" i="111"/>
  <c r="P29" i="111"/>
  <c r="P30" i="111"/>
  <c r="P31" i="111"/>
  <c r="P32" i="111"/>
  <c r="P34" i="111"/>
  <c r="P35" i="111"/>
  <c r="P36" i="111"/>
  <c r="P37" i="111"/>
  <c r="P38" i="111"/>
  <c r="P39" i="111"/>
  <c r="P40" i="111"/>
  <c r="P41" i="111"/>
  <c r="P42" i="111"/>
  <c r="P43" i="111"/>
  <c r="P44" i="111"/>
  <c r="P45" i="111"/>
  <c r="P46" i="111"/>
  <c r="P47" i="111"/>
  <c r="P48" i="111"/>
  <c r="P49" i="111"/>
  <c r="P50" i="111"/>
  <c r="P51" i="111"/>
  <c r="P52" i="111"/>
  <c r="P53" i="111"/>
  <c r="P54" i="111"/>
  <c r="P55" i="111"/>
  <c r="P56" i="111"/>
  <c r="P57" i="111"/>
  <c r="P58" i="111"/>
  <c r="P59" i="111"/>
  <c r="P60" i="111"/>
  <c r="P61" i="111"/>
  <c r="P62" i="111"/>
  <c r="P6" i="111"/>
  <c r="O7" i="111"/>
  <c r="O8" i="111"/>
  <c r="O9" i="111"/>
  <c r="O10" i="111"/>
  <c r="O11" i="111"/>
  <c r="O12" i="111"/>
  <c r="O13" i="111"/>
  <c r="O14" i="111"/>
  <c r="O15" i="111"/>
  <c r="O16" i="111"/>
  <c r="O17" i="111"/>
  <c r="O18" i="111"/>
  <c r="O19" i="111"/>
  <c r="O20" i="111"/>
  <c r="O21" i="111"/>
  <c r="O22" i="111"/>
  <c r="O23" i="111"/>
  <c r="O24" i="111"/>
  <c r="O25" i="111"/>
  <c r="O26" i="111"/>
  <c r="O27" i="111"/>
  <c r="O28" i="111"/>
  <c r="O29" i="111"/>
  <c r="O30" i="111"/>
  <c r="O31" i="111"/>
  <c r="O32" i="111"/>
  <c r="O34" i="111"/>
  <c r="O35" i="111"/>
  <c r="O36" i="111"/>
  <c r="O37" i="111"/>
  <c r="O38" i="111"/>
  <c r="O39" i="111"/>
  <c r="O40" i="111"/>
  <c r="O41" i="111"/>
  <c r="O42" i="111"/>
  <c r="O43" i="111"/>
  <c r="O44" i="111"/>
  <c r="O45" i="111"/>
  <c r="O46" i="111"/>
  <c r="O47" i="111"/>
  <c r="O48" i="111"/>
  <c r="O49" i="111"/>
  <c r="O50" i="111"/>
  <c r="O51" i="111"/>
  <c r="O52" i="111"/>
  <c r="O53" i="111"/>
  <c r="O54" i="111"/>
  <c r="O55" i="111"/>
  <c r="O56" i="111"/>
  <c r="O57" i="111"/>
  <c r="O58" i="111"/>
  <c r="O59" i="111"/>
  <c r="O60" i="111"/>
  <c r="O61" i="111"/>
  <c r="O62" i="111"/>
  <c r="O6" i="111"/>
  <c r="D62" i="111"/>
  <c r="E62" i="111"/>
  <c r="F62" i="111"/>
  <c r="G62" i="111"/>
  <c r="H62" i="111"/>
  <c r="I62" i="111"/>
  <c r="J62" i="111"/>
  <c r="K62" i="111"/>
  <c r="L62" i="111"/>
  <c r="M62" i="111"/>
  <c r="N62" i="111"/>
  <c r="Q62" i="111"/>
  <c r="R62" i="111"/>
  <c r="C62" i="111"/>
  <c r="D60" i="111"/>
  <c r="E60" i="111"/>
  <c r="F60" i="111"/>
  <c r="G60" i="111"/>
  <c r="H60" i="111"/>
  <c r="I60" i="111"/>
  <c r="J60" i="111"/>
  <c r="K60" i="111"/>
  <c r="L60" i="111"/>
  <c r="M60" i="111"/>
  <c r="N60" i="111"/>
  <c r="Q60" i="111"/>
  <c r="R60" i="111"/>
  <c r="C60" i="111"/>
  <c r="D56" i="111"/>
  <c r="E56" i="111"/>
  <c r="F56" i="111"/>
  <c r="G56" i="111"/>
  <c r="H56" i="111"/>
  <c r="I56" i="111"/>
  <c r="J56" i="111"/>
  <c r="K56" i="111"/>
  <c r="L56" i="111"/>
  <c r="M56" i="111"/>
  <c r="N56" i="111"/>
  <c r="Q56" i="111"/>
  <c r="R56" i="111"/>
  <c r="C56" i="111"/>
  <c r="D33" i="111"/>
  <c r="E33" i="111"/>
  <c r="F33" i="111"/>
  <c r="G33" i="111"/>
  <c r="H33" i="111"/>
  <c r="I33" i="111"/>
  <c r="J33" i="111"/>
  <c r="K33" i="111"/>
  <c r="L33" i="111"/>
  <c r="M33" i="111"/>
  <c r="N33" i="111"/>
  <c r="Q33" i="111"/>
  <c r="R33" i="111"/>
  <c r="C33" i="111"/>
  <c r="O62" i="115"/>
  <c r="P62" i="115"/>
  <c r="O60" i="115"/>
  <c r="P60" i="115"/>
  <c r="O56" i="115"/>
  <c r="P56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P41" i="115"/>
  <c r="O42" i="115"/>
  <c r="P42" i="115"/>
  <c r="O43" i="115"/>
  <c r="P43" i="115"/>
  <c r="O44" i="115"/>
  <c r="P44" i="115"/>
  <c r="O45" i="115"/>
  <c r="P45" i="115"/>
  <c r="O46" i="115"/>
  <c r="P46" i="115"/>
  <c r="O47" i="115"/>
  <c r="P47" i="115"/>
  <c r="O48" i="115"/>
  <c r="P48" i="115"/>
  <c r="O49" i="115"/>
  <c r="P49" i="115"/>
  <c r="O50" i="115"/>
  <c r="P50" i="115"/>
  <c r="O51" i="115"/>
  <c r="P51" i="115"/>
  <c r="O52" i="115"/>
  <c r="P52" i="115"/>
  <c r="O53" i="115"/>
  <c r="P53" i="115"/>
  <c r="O54" i="115"/>
  <c r="P54" i="115"/>
  <c r="O55" i="115"/>
  <c r="P55" i="115"/>
  <c r="O57" i="115"/>
  <c r="P57" i="115"/>
  <c r="O58" i="115"/>
  <c r="P58" i="115"/>
  <c r="O59" i="115"/>
  <c r="P59" i="115"/>
  <c r="O61" i="115"/>
  <c r="P61" i="115"/>
  <c r="O7" i="115"/>
  <c r="P7" i="115"/>
  <c r="O8" i="115"/>
  <c r="P8" i="115"/>
  <c r="O9" i="115"/>
  <c r="P9" i="115"/>
  <c r="O10" i="115"/>
  <c r="O33" i="115" s="1"/>
  <c r="O63" i="115" s="1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8" i="115"/>
  <c r="P18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7" i="115"/>
  <c r="P27" i="115"/>
  <c r="O28" i="115"/>
  <c r="P28" i="115"/>
  <c r="O29" i="115"/>
  <c r="P29" i="115"/>
  <c r="O30" i="115"/>
  <c r="P30" i="115"/>
  <c r="O31" i="115"/>
  <c r="P31" i="115"/>
  <c r="O32" i="115"/>
  <c r="P32" i="115"/>
  <c r="P6" i="115"/>
  <c r="O6" i="115"/>
  <c r="D62" i="115"/>
  <c r="E62" i="115"/>
  <c r="F62" i="115"/>
  <c r="G62" i="115"/>
  <c r="H62" i="115"/>
  <c r="I62" i="115"/>
  <c r="J62" i="115"/>
  <c r="K62" i="115"/>
  <c r="L62" i="115"/>
  <c r="M62" i="115"/>
  <c r="N62" i="115"/>
  <c r="C62" i="115"/>
  <c r="D60" i="115"/>
  <c r="E60" i="115"/>
  <c r="F60" i="115"/>
  <c r="G60" i="115"/>
  <c r="H60" i="115"/>
  <c r="I60" i="115"/>
  <c r="J60" i="115"/>
  <c r="K60" i="115"/>
  <c r="L60" i="115"/>
  <c r="M60" i="115"/>
  <c r="N60" i="115"/>
  <c r="C60" i="115"/>
  <c r="D56" i="115"/>
  <c r="E56" i="115"/>
  <c r="F56" i="115"/>
  <c r="G56" i="115"/>
  <c r="H56" i="115"/>
  <c r="I56" i="115"/>
  <c r="J56" i="115"/>
  <c r="K56" i="115"/>
  <c r="L56" i="115"/>
  <c r="M56" i="115"/>
  <c r="N56" i="115"/>
  <c r="C56" i="115"/>
  <c r="D33" i="115"/>
  <c r="D63" i="115" s="1"/>
  <c r="E33" i="115"/>
  <c r="E63" i="115" s="1"/>
  <c r="F33" i="115"/>
  <c r="F63" i="115" s="1"/>
  <c r="G33" i="115"/>
  <c r="G63" i="115" s="1"/>
  <c r="H33" i="115"/>
  <c r="H63" i="115" s="1"/>
  <c r="I33" i="115"/>
  <c r="I63" i="115" s="1"/>
  <c r="J33" i="115"/>
  <c r="J63" i="115" s="1"/>
  <c r="K33" i="115"/>
  <c r="K63" i="115" s="1"/>
  <c r="L33" i="115"/>
  <c r="L63" i="115" s="1"/>
  <c r="M33" i="115"/>
  <c r="M63" i="115" s="1"/>
  <c r="N33" i="115"/>
  <c r="N63" i="115" s="1"/>
  <c r="C33" i="115"/>
  <c r="C63" i="115" s="1"/>
  <c r="O62" i="114"/>
  <c r="P62" i="114"/>
  <c r="O60" i="114"/>
  <c r="P60" i="114"/>
  <c r="O56" i="114"/>
  <c r="P56" i="114"/>
  <c r="O7" i="114"/>
  <c r="P7" i="114"/>
  <c r="O8" i="114"/>
  <c r="P8" i="114"/>
  <c r="O9" i="114"/>
  <c r="P9" i="114"/>
  <c r="O10" i="114"/>
  <c r="P10" i="114"/>
  <c r="O11" i="114"/>
  <c r="P11" i="114"/>
  <c r="O12" i="114"/>
  <c r="P12" i="114"/>
  <c r="O13" i="114"/>
  <c r="P13" i="114"/>
  <c r="P33" i="114" s="1"/>
  <c r="P63" i="114" s="1"/>
  <c r="O14" i="114"/>
  <c r="P14" i="114"/>
  <c r="O15" i="114"/>
  <c r="P15" i="114"/>
  <c r="O16" i="114"/>
  <c r="P16" i="114"/>
  <c r="O17" i="114"/>
  <c r="P17" i="114"/>
  <c r="O18" i="114"/>
  <c r="P18" i="114"/>
  <c r="O19" i="114"/>
  <c r="P19" i="114"/>
  <c r="O20" i="114"/>
  <c r="P20" i="114"/>
  <c r="O21" i="114"/>
  <c r="P21" i="114"/>
  <c r="O22" i="114"/>
  <c r="P22" i="114"/>
  <c r="O23" i="114"/>
  <c r="P23" i="114"/>
  <c r="O24" i="114"/>
  <c r="P24" i="114"/>
  <c r="O25" i="114"/>
  <c r="P25" i="114"/>
  <c r="O26" i="114"/>
  <c r="P26" i="114"/>
  <c r="O27" i="114"/>
  <c r="P27" i="114"/>
  <c r="O28" i="114"/>
  <c r="P28" i="114"/>
  <c r="O29" i="114"/>
  <c r="P29" i="114"/>
  <c r="O30" i="114"/>
  <c r="P30" i="114"/>
  <c r="O31" i="114"/>
  <c r="P31" i="114"/>
  <c r="O32" i="114"/>
  <c r="P32" i="114"/>
  <c r="O34" i="114"/>
  <c r="P34" i="114"/>
  <c r="O35" i="114"/>
  <c r="P35" i="114"/>
  <c r="O36" i="114"/>
  <c r="P36" i="114"/>
  <c r="O37" i="114"/>
  <c r="P37" i="114"/>
  <c r="O38" i="114"/>
  <c r="P38" i="114"/>
  <c r="O39" i="114"/>
  <c r="P39" i="114"/>
  <c r="O40" i="114"/>
  <c r="P40" i="114"/>
  <c r="O41" i="114"/>
  <c r="P41" i="114"/>
  <c r="O42" i="114"/>
  <c r="P42" i="114"/>
  <c r="O43" i="114"/>
  <c r="P43" i="114"/>
  <c r="O44" i="114"/>
  <c r="P44" i="114"/>
  <c r="O45" i="114"/>
  <c r="P45" i="114"/>
  <c r="O46" i="114"/>
  <c r="P46" i="114"/>
  <c r="O47" i="114"/>
  <c r="P47" i="114"/>
  <c r="O48" i="114"/>
  <c r="P48" i="114"/>
  <c r="O49" i="114"/>
  <c r="P49" i="114"/>
  <c r="O50" i="114"/>
  <c r="P50" i="114"/>
  <c r="O51" i="114"/>
  <c r="P51" i="114"/>
  <c r="O52" i="114"/>
  <c r="P52" i="114"/>
  <c r="O53" i="114"/>
  <c r="P53" i="114"/>
  <c r="O54" i="114"/>
  <c r="P54" i="114"/>
  <c r="O55" i="114"/>
  <c r="P55" i="114"/>
  <c r="O57" i="114"/>
  <c r="P57" i="114"/>
  <c r="O58" i="114"/>
  <c r="P58" i="114"/>
  <c r="O59" i="114"/>
  <c r="P59" i="114"/>
  <c r="O61" i="114"/>
  <c r="P61" i="114"/>
  <c r="P6" i="114"/>
  <c r="O6" i="114"/>
  <c r="D62" i="114"/>
  <c r="E62" i="114"/>
  <c r="F62" i="114"/>
  <c r="G62" i="114"/>
  <c r="H62" i="114"/>
  <c r="I62" i="114"/>
  <c r="J62" i="114"/>
  <c r="K62" i="114"/>
  <c r="L62" i="114"/>
  <c r="M62" i="114"/>
  <c r="N62" i="114"/>
  <c r="C62" i="114"/>
  <c r="D60" i="114"/>
  <c r="E60" i="114"/>
  <c r="F60" i="114"/>
  <c r="G60" i="114"/>
  <c r="H60" i="114"/>
  <c r="I60" i="114"/>
  <c r="J60" i="114"/>
  <c r="K60" i="114"/>
  <c r="L60" i="114"/>
  <c r="M60" i="114"/>
  <c r="N60" i="114"/>
  <c r="C60" i="114"/>
  <c r="D56" i="114"/>
  <c r="E56" i="114"/>
  <c r="F56" i="114"/>
  <c r="G56" i="114"/>
  <c r="H56" i="114"/>
  <c r="I56" i="114"/>
  <c r="J56" i="114"/>
  <c r="K56" i="114"/>
  <c r="L56" i="114"/>
  <c r="M56" i="114"/>
  <c r="N56" i="114"/>
  <c r="C56" i="114"/>
  <c r="D33" i="114"/>
  <c r="D63" i="114" s="1"/>
  <c r="E33" i="114"/>
  <c r="E63" i="114" s="1"/>
  <c r="F33" i="114"/>
  <c r="F63" i="114" s="1"/>
  <c r="G33" i="114"/>
  <c r="G63" i="114" s="1"/>
  <c r="H33" i="114"/>
  <c r="H63" i="114" s="1"/>
  <c r="I33" i="114"/>
  <c r="I63" i="114" s="1"/>
  <c r="J33" i="114"/>
  <c r="J63" i="114" s="1"/>
  <c r="K33" i="114"/>
  <c r="K63" i="114" s="1"/>
  <c r="L33" i="114"/>
  <c r="L63" i="114" s="1"/>
  <c r="M33" i="114"/>
  <c r="M63" i="114" s="1"/>
  <c r="N33" i="114"/>
  <c r="N63" i="114" s="1"/>
  <c r="C33" i="114"/>
  <c r="C63" i="114" s="1"/>
  <c r="D62" i="113"/>
  <c r="E62" i="113"/>
  <c r="F62" i="113"/>
  <c r="G62" i="113"/>
  <c r="H62" i="113"/>
  <c r="I62" i="113"/>
  <c r="J62" i="113"/>
  <c r="C62" i="113"/>
  <c r="D60" i="113"/>
  <c r="E60" i="113"/>
  <c r="F60" i="113"/>
  <c r="G60" i="113"/>
  <c r="H60" i="113"/>
  <c r="I60" i="113"/>
  <c r="J60" i="113"/>
  <c r="C60" i="113"/>
  <c r="D56" i="113"/>
  <c r="E56" i="113"/>
  <c r="F56" i="113"/>
  <c r="G56" i="113"/>
  <c r="H56" i="113"/>
  <c r="I56" i="113"/>
  <c r="J56" i="113"/>
  <c r="C56" i="113"/>
  <c r="D33" i="113"/>
  <c r="E33" i="113"/>
  <c r="F33" i="113"/>
  <c r="G33" i="113"/>
  <c r="H33" i="113"/>
  <c r="I33" i="113"/>
  <c r="J33" i="113"/>
  <c r="C33" i="113"/>
  <c r="D56" i="118"/>
  <c r="C56" i="118"/>
  <c r="D62" i="118"/>
  <c r="E62" i="118"/>
  <c r="F62" i="118"/>
  <c r="G62" i="118"/>
  <c r="H62" i="118"/>
  <c r="C62" i="118"/>
  <c r="D60" i="118"/>
  <c r="E60" i="118"/>
  <c r="F60" i="118"/>
  <c r="G60" i="118"/>
  <c r="H60" i="118"/>
  <c r="C60" i="118"/>
  <c r="E56" i="118"/>
  <c r="F56" i="118"/>
  <c r="G56" i="118"/>
  <c r="H56" i="118"/>
  <c r="D33" i="118"/>
  <c r="E33" i="118"/>
  <c r="E63" i="118" s="1"/>
  <c r="F33" i="118"/>
  <c r="F63" i="118" s="1"/>
  <c r="G33" i="118"/>
  <c r="H33" i="118"/>
  <c r="C33" i="118"/>
  <c r="D60" i="117"/>
  <c r="E60" i="117"/>
  <c r="F60" i="117"/>
  <c r="C60" i="117"/>
  <c r="D56" i="117"/>
  <c r="E56" i="117"/>
  <c r="F56" i="117"/>
  <c r="C56" i="117"/>
  <c r="D33" i="117"/>
  <c r="D63" i="117" s="1"/>
  <c r="E33" i="117"/>
  <c r="E63" i="117" s="1"/>
  <c r="F33" i="117"/>
  <c r="F63" i="117" s="1"/>
  <c r="C33" i="117"/>
  <c r="C63" i="117" s="1"/>
  <c r="D62" i="116"/>
  <c r="E62" i="116"/>
  <c r="F62" i="116"/>
  <c r="C62" i="116"/>
  <c r="D60" i="116"/>
  <c r="E60" i="116"/>
  <c r="F60" i="116"/>
  <c r="C60" i="116"/>
  <c r="D56" i="116"/>
  <c r="E56" i="116"/>
  <c r="F56" i="116"/>
  <c r="C56" i="116"/>
  <c r="D33" i="116"/>
  <c r="E33" i="116"/>
  <c r="F33" i="116"/>
  <c r="F63" i="116" s="1"/>
  <c r="C33" i="116"/>
  <c r="C63" i="116" s="1"/>
  <c r="K63" i="111" l="1"/>
  <c r="N63" i="111"/>
  <c r="J63" i="111"/>
  <c r="F63" i="111"/>
  <c r="M63" i="111"/>
  <c r="E63" i="111"/>
  <c r="R63" i="111"/>
  <c r="Q63" i="111"/>
  <c r="I63" i="111"/>
  <c r="G63" i="111"/>
  <c r="L63" i="111"/>
  <c r="H63" i="111"/>
  <c r="D63" i="111"/>
  <c r="C63" i="111"/>
  <c r="P33" i="115"/>
  <c r="P63" i="115" s="1"/>
  <c r="O33" i="114"/>
  <c r="O63" i="114" s="1"/>
  <c r="J63" i="113"/>
  <c r="I63" i="113"/>
  <c r="H63" i="113"/>
  <c r="G63" i="113"/>
  <c r="F63" i="113"/>
  <c r="E63" i="113"/>
  <c r="C63" i="113"/>
  <c r="D63" i="113"/>
  <c r="D63" i="118"/>
  <c r="H63" i="118"/>
  <c r="G63" i="118"/>
  <c r="C63" i="118"/>
  <c r="E63" i="116"/>
  <c r="D63" i="116"/>
  <c r="V21" i="77"/>
  <c r="L21" i="77"/>
  <c r="G21" i="77"/>
  <c r="Q21" i="77"/>
  <c r="V6" i="77"/>
  <c r="Q6" i="77"/>
  <c r="L6" i="77"/>
  <c r="G6" i="77"/>
  <c r="V8" i="77"/>
  <c r="V9" i="77"/>
  <c r="V10" i="77"/>
  <c r="V12" i="77"/>
  <c r="V13" i="77"/>
  <c r="V14" i="77"/>
  <c r="V15" i="77"/>
  <c r="V17" i="77"/>
  <c r="V18" i="77"/>
  <c r="V19" i="77"/>
  <c r="V20" i="77"/>
  <c r="V27" i="77"/>
  <c r="V28" i="77"/>
  <c r="V29" i="77"/>
  <c r="V30" i="77"/>
  <c r="V32" i="77"/>
  <c r="V34" i="77"/>
  <c r="V43" i="77"/>
  <c r="V56" i="77"/>
  <c r="V57" i="77"/>
  <c r="V58" i="77"/>
  <c r="V59" i="77"/>
  <c r="V60" i="77"/>
  <c r="V61" i="77"/>
  <c r="V62" i="77"/>
  <c r="Q10" i="77"/>
  <c r="Q13" i="77"/>
  <c r="Q18" i="77"/>
  <c r="Q19" i="77"/>
  <c r="Q27" i="77"/>
  <c r="Q28" i="77"/>
  <c r="Q30" i="77"/>
  <c r="Q57" i="77"/>
  <c r="Q58" i="77"/>
  <c r="Q59" i="77"/>
  <c r="Q60" i="77"/>
  <c r="Q8" i="77"/>
  <c r="Q9" i="77"/>
  <c r="L7" i="77"/>
  <c r="L8" i="77"/>
  <c r="L9" i="77"/>
  <c r="L10" i="77"/>
  <c r="L12" i="77"/>
  <c r="L13" i="77"/>
  <c r="L14" i="77"/>
  <c r="L15" i="77"/>
  <c r="L16" i="77"/>
  <c r="L17" i="77"/>
  <c r="L18" i="77"/>
  <c r="L19" i="77"/>
  <c r="L20" i="77"/>
  <c r="L24" i="77"/>
  <c r="L27" i="77"/>
  <c r="L28" i="77"/>
  <c r="L29" i="77"/>
  <c r="L30" i="77"/>
  <c r="L31" i="77"/>
  <c r="L32" i="77"/>
  <c r="L56" i="77"/>
  <c r="L57" i="77"/>
  <c r="L58" i="77"/>
  <c r="L59" i="77"/>
  <c r="L60" i="77"/>
  <c r="G7" i="77"/>
  <c r="G8" i="77"/>
  <c r="G9" i="77"/>
  <c r="G10" i="77"/>
  <c r="G12" i="77"/>
  <c r="G13" i="77"/>
  <c r="G14" i="77"/>
  <c r="G15" i="77"/>
  <c r="G16" i="77"/>
  <c r="G17" i="77"/>
  <c r="G19" i="77"/>
  <c r="G20" i="77"/>
  <c r="G22" i="77"/>
  <c r="G24" i="77"/>
  <c r="G27" i="77"/>
  <c r="G28" i="77"/>
  <c r="G29" i="77"/>
  <c r="G30" i="77"/>
  <c r="G31" i="77"/>
  <c r="G32" i="77"/>
  <c r="G34" i="77"/>
  <c r="G42" i="77"/>
  <c r="G56" i="77"/>
  <c r="G57" i="77"/>
  <c r="G58" i="77"/>
  <c r="G59" i="77"/>
  <c r="G60" i="77"/>
  <c r="S63" i="77"/>
  <c r="H62" i="77"/>
  <c r="I62" i="77"/>
  <c r="J62" i="77"/>
  <c r="K62" i="77"/>
  <c r="M62" i="77"/>
  <c r="N62" i="77"/>
  <c r="O62" i="77"/>
  <c r="P62" i="77"/>
  <c r="R62" i="77"/>
  <c r="S62" i="77"/>
  <c r="T62" i="77"/>
  <c r="U62" i="77"/>
  <c r="F62" i="77"/>
  <c r="H60" i="77"/>
  <c r="I60" i="77"/>
  <c r="J60" i="77"/>
  <c r="K60" i="77"/>
  <c r="M60" i="77"/>
  <c r="N60" i="77"/>
  <c r="O60" i="77"/>
  <c r="P60" i="77"/>
  <c r="R60" i="77"/>
  <c r="S60" i="77"/>
  <c r="T60" i="77"/>
  <c r="U60" i="77"/>
  <c r="F60" i="77"/>
  <c r="D56" i="77"/>
  <c r="E56" i="77"/>
  <c r="F56" i="77"/>
  <c r="H56" i="77"/>
  <c r="I56" i="77"/>
  <c r="J56" i="77"/>
  <c r="K56" i="77"/>
  <c r="M56" i="77"/>
  <c r="N56" i="77"/>
  <c r="O56" i="77"/>
  <c r="P56" i="77"/>
  <c r="R56" i="77"/>
  <c r="S56" i="77"/>
  <c r="T56" i="77"/>
  <c r="U56" i="77"/>
  <c r="C56" i="77"/>
  <c r="D33" i="77"/>
  <c r="G33" i="77" s="1"/>
  <c r="E33" i="77"/>
  <c r="F33" i="77"/>
  <c r="F63" i="77" s="1"/>
  <c r="G63" i="77" s="1"/>
  <c r="H33" i="77"/>
  <c r="H63" i="77" s="1"/>
  <c r="I33" i="77"/>
  <c r="J33" i="77"/>
  <c r="J63" i="77" s="1"/>
  <c r="K33" i="77"/>
  <c r="K63" i="77" s="1"/>
  <c r="M33" i="77"/>
  <c r="M63" i="77" s="1"/>
  <c r="N33" i="77"/>
  <c r="O33" i="77"/>
  <c r="O63" i="77" s="1"/>
  <c r="P33" i="77"/>
  <c r="P63" i="77" s="1"/>
  <c r="R33" i="77"/>
  <c r="R63" i="77" s="1"/>
  <c r="S33" i="77"/>
  <c r="T33" i="77"/>
  <c r="T63" i="77" s="1"/>
  <c r="U33" i="77"/>
  <c r="U63" i="77" s="1"/>
  <c r="C33" i="77"/>
  <c r="V63" i="77" l="1"/>
  <c r="V33" i="77"/>
  <c r="L33" i="77"/>
  <c r="Q33" i="77"/>
  <c r="I63" i="77"/>
  <c r="L63" i="77" s="1"/>
  <c r="N63" i="77"/>
  <c r="Q63" i="77" s="1"/>
  <c r="G9" i="15"/>
  <c r="G17" i="15"/>
  <c r="G25" i="15"/>
  <c r="G41" i="15"/>
  <c r="G49" i="15"/>
  <c r="F7" i="15"/>
  <c r="G7" i="15" s="1"/>
  <c r="F8" i="15"/>
  <c r="G8" i="15" s="1"/>
  <c r="F9" i="15"/>
  <c r="F10" i="15"/>
  <c r="G10" i="15" s="1"/>
  <c r="F11" i="15"/>
  <c r="G11" i="15" s="1"/>
  <c r="F12" i="15"/>
  <c r="G12" i="15" s="1"/>
  <c r="F13" i="15"/>
  <c r="F14" i="15"/>
  <c r="G14" i="15" s="1"/>
  <c r="F15" i="15"/>
  <c r="G15" i="15" s="1"/>
  <c r="F16" i="15"/>
  <c r="G16" i="15" s="1"/>
  <c r="F17" i="15"/>
  <c r="F18" i="15"/>
  <c r="G18" i="15" s="1"/>
  <c r="F19" i="15"/>
  <c r="G19" i="15" s="1"/>
  <c r="F20" i="15"/>
  <c r="G20" i="15" s="1"/>
  <c r="F21" i="15"/>
  <c r="G21" i="15" s="1"/>
  <c r="F22" i="15"/>
  <c r="G22" i="15" s="1"/>
  <c r="F23" i="15"/>
  <c r="G23" i="15" s="1"/>
  <c r="F24" i="15"/>
  <c r="G24" i="15" s="1"/>
  <c r="F25" i="15"/>
  <c r="F26" i="15"/>
  <c r="G26" i="15" s="1"/>
  <c r="F27" i="15"/>
  <c r="G27" i="15" s="1"/>
  <c r="F28" i="15"/>
  <c r="G28" i="15" s="1"/>
  <c r="F29" i="15"/>
  <c r="G29" i="15" s="1"/>
  <c r="F30" i="15"/>
  <c r="G30" i="15" s="1"/>
  <c r="F31" i="15"/>
  <c r="G31" i="15" s="1"/>
  <c r="F32" i="15"/>
  <c r="G32" i="15" s="1"/>
  <c r="F33" i="15"/>
  <c r="F34" i="15"/>
  <c r="G34" i="15" s="1"/>
  <c r="F35" i="15"/>
  <c r="G35" i="15" s="1"/>
  <c r="F36" i="15"/>
  <c r="G36" i="15" s="1"/>
  <c r="F37" i="15"/>
  <c r="G37" i="15" s="1"/>
  <c r="F38" i="15"/>
  <c r="G38" i="15" s="1"/>
  <c r="F39" i="15"/>
  <c r="G39" i="15" s="1"/>
  <c r="F40" i="15"/>
  <c r="G40" i="15" s="1"/>
  <c r="F41" i="15"/>
  <c r="F42" i="15"/>
  <c r="G42" i="15" s="1"/>
  <c r="F43" i="15"/>
  <c r="G43" i="15" s="1"/>
  <c r="F44" i="15"/>
  <c r="G44" i="15" s="1"/>
  <c r="F45" i="15"/>
  <c r="G45" i="15" s="1"/>
  <c r="F46" i="15"/>
  <c r="G46" i="15" s="1"/>
  <c r="F47" i="15"/>
  <c r="G47" i="15" s="1"/>
  <c r="F48" i="15"/>
  <c r="G48" i="15" s="1"/>
  <c r="F49" i="15"/>
  <c r="F50" i="15"/>
  <c r="G50" i="15" s="1"/>
  <c r="F51" i="15"/>
  <c r="G51" i="15" s="1"/>
  <c r="F52" i="15"/>
  <c r="G52" i="15" s="1"/>
  <c r="F53" i="15"/>
  <c r="G53" i="15" s="1"/>
  <c r="F54" i="15"/>
  <c r="G54" i="15" s="1"/>
  <c r="F55" i="15"/>
  <c r="G55" i="15" s="1"/>
  <c r="F57" i="15"/>
  <c r="G57" i="15" s="1"/>
  <c r="F58" i="15"/>
  <c r="G58" i="15" s="1"/>
  <c r="F59" i="15"/>
  <c r="G59" i="15" s="1"/>
  <c r="F61" i="15"/>
  <c r="F6" i="15"/>
  <c r="G6" i="15" s="1"/>
  <c r="E6" i="15"/>
  <c r="C7" i="15"/>
  <c r="C8" i="15"/>
  <c r="C9" i="15"/>
  <c r="C10" i="15"/>
  <c r="C11" i="15"/>
  <c r="C12" i="15"/>
  <c r="C13" i="15"/>
  <c r="C14" i="15"/>
  <c r="C15" i="15"/>
  <c r="D15" i="15"/>
  <c r="C16" i="15"/>
  <c r="D16" i="15"/>
  <c r="C17" i="15"/>
  <c r="D17" i="15"/>
  <c r="C18" i="15"/>
  <c r="D18" i="15"/>
  <c r="C19" i="15"/>
  <c r="D19" i="15"/>
  <c r="C20" i="15"/>
  <c r="D20" i="15"/>
  <c r="C21" i="15"/>
  <c r="D21" i="15"/>
  <c r="C22" i="15"/>
  <c r="D22" i="15"/>
  <c r="C23" i="15"/>
  <c r="D23" i="15"/>
  <c r="C24" i="15"/>
  <c r="D24" i="15"/>
  <c r="C25" i="15"/>
  <c r="D25" i="15"/>
  <c r="C26" i="15"/>
  <c r="D26" i="15"/>
  <c r="C27" i="15"/>
  <c r="D27" i="15"/>
  <c r="C28" i="15"/>
  <c r="D28" i="15"/>
  <c r="C29" i="15"/>
  <c r="D29" i="15"/>
  <c r="C30" i="15"/>
  <c r="D30" i="15"/>
  <c r="C31" i="15"/>
  <c r="D31" i="15"/>
  <c r="C32" i="15"/>
  <c r="D32" i="15"/>
  <c r="C33" i="15"/>
  <c r="C34" i="15"/>
  <c r="D34" i="15"/>
  <c r="C35" i="15"/>
  <c r="D35" i="15"/>
  <c r="C36" i="15"/>
  <c r="D36" i="15"/>
  <c r="C37" i="15"/>
  <c r="D37" i="15"/>
  <c r="C38" i="15"/>
  <c r="D38" i="15"/>
  <c r="C39" i="15"/>
  <c r="D39" i="15"/>
  <c r="C40" i="15"/>
  <c r="D40" i="15"/>
  <c r="C41" i="15"/>
  <c r="D41" i="15"/>
  <c r="C42" i="15"/>
  <c r="D42" i="15"/>
  <c r="C43" i="15"/>
  <c r="D43" i="15"/>
  <c r="C44" i="15"/>
  <c r="D44" i="15"/>
  <c r="C45" i="15"/>
  <c r="D45" i="15"/>
  <c r="C46" i="15"/>
  <c r="D46" i="15"/>
  <c r="C47" i="15"/>
  <c r="D47" i="15"/>
  <c r="C48" i="15"/>
  <c r="D48" i="15"/>
  <c r="C49" i="15"/>
  <c r="D49" i="15"/>
  <c r="C50" i="15"/>
  <c r="D50" i="15"/>
  <c r="C51" i="15"/>
  <c r="D51" i="15"/>
  <c r="C52" i="15"/>
  <c r="D52" i="15"/>
  <c r="C53" i="15"/>
  <c r="D53" i="15"/>
  <c r="C54" i="15"/>
  <c r="D54" i="15"/>
  <c r="C55" i="15"/>
  <c r="D55" i="15"/>
  <c r="C56" i="15"/>
  <c r="D56" i="15"/>
  <c r="C57" i="15"/>
  <c r="D57" i="15"/>
  <c r="C58" i="15"/>
  <c r="D58" i="15"/>
  <c r="C59" i="15"/>
  <c r="D59" i="15"/>
  <c r="C60" i="15"/>
  <c r="D60" i="15"/>
  <c r="C61" i="15"/>
  <c r="C62" i="15"/>
  <c r="C63" i="15"/>
  <c r="D6" i="15"/>
  <c r="C6" i="15"/>
  <c r="D63" i="85"/>
  <c r="E63" i="85"/>
  <c r="F63" i="85"/>
  <c r="G63" i="85"/>
  <c r="H63" i="85"/>
  <c r="I63" i="85"/>
  <c r="K63" i="85"/>
  <c r="C63" i="85"/>
  <c r="D62" i="85"/>
  <c r="E62" i="85"/>
  <c r="F62" i="85"/>
  <c r="G62" i="85"/>
  <c r="H62" i="85"/>
  <c r="I62" i="85"/>
  <c r="J62" i="85"/>
  <c r="K62" i="85"/>
  <c r="L62" i="85"/>
  <c r="C62" i="85"/>
  <c r="D60" i="85"/>
  <c r="E60" i="85"/>
  <c r="F60" i="85"/>
  <c r="G60" i="85"/>
  <c r="H60" i="85"/>
  <c r="I60" i="85"/>
  <c r="J60" i="85"/>
  <c r="K60" i="85"/>
  <c r="L60" i="85"/>
  <c r="M60" i="85"/>
  <c r="N60" i="85"/>
  <c r="Q60" i="85"/>
  <c r="C60" i="85"/>
  <c r="D56" i="85"/>
  <c r="E56" i="85"/>
  <c r="F56" i="85"/>
  <c r="G56" i="85"/>
  <c r="H56" i="85"/>
  <c r="I56" i="85"/>
  <c r="J56" i="85"/>
  <c r="K56" i="85"/>
  <c r="L56" i="85"/>
  <c r="C56" i="85"/>
  <c r="D33" i="85"/>
  <c r="E33" i="85"/>
  <c r="F33" i="85"/>
  <c r="G33" i="85"/>
  <c r="H33" i="85"/>
  <c r="I33" i="85"/>
  <c r="J33" i="85"/>
  <c r="J63" i="85" s="1"/>
  <c r="K33" i="85"/>
  <c r="M33" i="85"/>
  <c r="Q33" i="85"/>
  <c r="C33" i="85"/>
  <c r="K7" i="85"/>
  <c r="L7" i="85"/>
  <c r="K8" i="85"/>
  <c r="L8" i="85"/>
  <c r="K9" i="85"/>
  <c r="L9" i="85"/>
  <c r="K10" i="85"/>
  <c r="L10" i="85"/>
  <c r="K11" i="85"/>
  <c r="L11" i="85"/>
  <c r="K12" i="85"/>
  <c r="L12" i="85"/>
  <c r="K13" i="85"/>
  <c r="L13" i="85"/>
  <c r="D13" i="15" s="1"/>
  <c r="K14" i="85"/>
  <c r="L14" i="85"/>
  <c r="K15" i="85"/>
  <c r="L15" i="85"/>
  <c r="K16" i="85"/>
  <c r="L16" i="85"/>
  <c r="K17" i="85"/>
  <c r="L17" i="85"/>
  <c r="K18" i="85"/>
  <c r="L18" i="85"/>
  <c r="K19" i="85"/>
  <c r="L19" i="85"/>
  <c r="K20" i="85"/>
  <c r="L20" i="85"/>
  <c r="K21" i="85"/>
  <c r="L21" i="85"/>
  <c r="K22" i="85"/>
  <c r="L22" i="85"/>
  <c r="K23" i="85"/>
  <c r="L23" i="85"/>
  <c r="K24" i="85"/>
  <c r="L24" i="85"/>
  <c r="K25" i="85"/>
  <c r="L25" i="85"/>
  <c r="K26" i="85"/>
  <c r="L26" i="85"/>
  <c r="K27" i="85"/>
  <c r="L27" i="85"/>
  <c r="K28" i="85"/>
  <c r="L28" i="85"/>
  <c r="K29" i="85"/>
  <c r="L29" i="85"/>
  <c r="K30" i="85"/>
  <c r="L30" i="85"/>
  <c r="K31" i="85"/>
  <c r="L31" i="85"/>
  <c r="K32" i="85"/>
  <c r="L32" i="85"/>
  <c r="K34" i="85"/>
  <c r="L34" i="85"/>
  <c r="K35" i="85"/>
  <c r="L35" i="85"/>
  <c r="K36" i="85"/>
  <c r="L36" i="85"/>
  <c r="K37" i="85"/>
  <c r="L37" i="85"/>
  <c r="K38" i="85"/>
  <c r="L38" i="85"/>
  <c r="K39" i="85"/>
  <c r="L39" i="85"/>
  <c r="K40" i="85"/>
  <c r="L40" i="85"/>
  <c r="K41" i="85"/>
  <c r="L41" i="85"/>
  <c r="K42" i="85"/>
  <c r="L42" i="85"/>
  <c r="K43" i="85"/>
  <c r="L43" i="85"/>
  <c r="K44" i="85"/>
  <c r="L44" i="85"/>
  <c r="K45" i="85"/>
  <c r="L45" i="85"/>
  <c r="K46" i="85"/>
  <c r="L46" i="85"/>
  <c r="K47" i="85"/>
  <c r="L47" i="85"/>
  <c r="K48" i="85"/>
  <c r="L48" i="85"/>
  <c r="K49" i="85"/>
  <c r="L49" i="85"/>
  <c r="K50" i="85"/>
  <c r="L50" i="85"/>
  <c r="K51" i="85"/>
  <c r="L51" i="85"/>
  <c r="K52" i="85"/>
  <c r="L52" i="85"/>
  <c r="K53" i="85"/>
  <c r="L53" i="85"/>
  <c r="K54" i="85"/>
  <c r="L54" i="85"/>
  <c r="K55" i="85"/>
  <c r="L55" i="85"/>
  <c r="K57" i="85"/>
  <c r="L57" i="85"/>
  <c r="K58" i="85"/>
  <c r="L58" i="85"/>
  <c r="K59" i="85"/>
  <c r="L59" i="85"/>
  <c r="K61" i="85"/>
  <c r="L61" i="85"/>
  <c r="L6" i="85"/>
  <c r="K6" i="85"/>
  <c r="G13" i="15" l="1"/>
  <c r="L33" i="85"/>
  <c r="D33" i="15" s="1"/>
  <c r="G33" i="15" s="1"/>
  <c r="L63" i="85"/>
  <c r="D62" i="78"/>
  <c r="E62" i="78"/>
  <c r="F62" i="78"/>
  <c r="G62" i="78"/>
  <c r="H62" i="78"/>
  <c r="I62" i="78"/>
  <c r="J62" i="78"/>
  <c r="K62" i="78"/>
  <c r="L62" i="78"/>
  <c r="M62" i="78"/>
  <c r="C62" i="78"/>
  <c r="D60" i="78"/>
  <c r="E60" i="78"/>
  <c r="F60" i="78"/>
  <c r="G60" i="78"/>
  <c r="H60" i="78"/>
  <c r="I60" i="78"/>
  <c r="J60" i="78"/>
  <c r="K60" i="78"/>
  <c r="L60" i="78"/>
  <c r="M60" i="78"/>
  <c r="N60" i="78"/>
  <c r="C60" i="78"/>
  <c r="D56" i="78"/>
  <c r="E56" i="78"/>
  <c r="E63" i="78" s="1"/>
  <c r="F56" i="78"/>
  <c r="G56" i="78"/>
  <c r="G63" i="78" s="1"/>
  <c r="H56" i="78"/>
  <c r="I56" i="78"/>
  <c r="I63" i="78" s="1"/>
  <c r="J56" i="78"/>
  <c r="K56" i="78"/>
  <c r="L56" i="78"/>
  <c r="M56" i="78"/>
  <c r="O56" i="78"/>
  <c r="P56" i="78"/>
  <c r="C56" i="78"/>
  <c r="D33" i="78"/>
  <c r="E33" i="78"/>
  <c r="F33" i="78"/>
  <c r="F63" i="78" s="1"/>
  <c r="G33" i="78"/>
  <c r="H33" i="78"/>
  <c r="I33" i="78"/>
  <c r="J33" i="78"/>
  <c r="J63" i="78" s="1"/>
  <c r="K33" i="78"/>
  <c r="K63" i="78" s="1"/>
  <c r="L33" i="78"/>
  <c r="C33" i="78"/>
  <c r="M7" i="78"/>
  <c r="N7" i="78"/>
  <c r="M8" i="78"/>
  <c r="N8" i="78"/>
  <c r="M9" i="78"/>
  <c r="N9" i="78"/>
  <c r="M10" i="78"/>
  <c r="M33" i="78" s="1"/>
  <c r="N10" i="78"/>
  <c r="M11" i="78"/>
  <c r="N11" i="78"/>
  <c r="M12" i="78"/>
  <c r="N12" i="78"/>
  <c r="M13" i="78"/>
  <c r="N13" i="78"/>
  <c r="M14" i="78"/>
  <c r="N14" i="78"/>
  <c r="M15" i="78"/>
  <c r="N15" i="78"/>
  <c r="M16" i="78"/>
  <c r="N16" i="78"/>
  <c r="M17" i="78"/>
  <c r="N17" i="78"/>
  <c r="M18" i="78"/>
  <c r="N18" i="78"/>
  <c r="M19" i="78"/>
  <c r="N19" i="78"/>
  <c r="M20" i="78"/>
  <c r="N20" i="78"/>
  <c r="M21" i="78"/>
  <c r="N21" i="78"/>
  <c r="M22" i="78"/>
  <c r="N22" i="78"/>
  <c r="M23" i="78"/>
  <c r="N23" i="78"/>
  <c r="M24" i="78"/>
  <c r="N24" i="78"/>
  <c r="M25" i="78"/>
  <c r="N25" i="78"/>
  <c r="M26" i="78"/>
  <c r="N26" i="78"/>
  <c r="M27" i="78"/>
  <c r="N27" i="78"/>
  <c r="M28" i="78"/>
  <c r="N28" i="78"/>
  <c r="M29" i="78"/>
  <c r="N29" i="78"/>
  <c r="M30" i="78"/>
  <c r="N30" i="78"/>
  <c r="M31" i="78"/>
  <c r="N31" i="78"/>
  <c r="M32" i="78"/>
  <c r="N32" i="78"/>
  <c r="M34" i="78"/>
  <c r="N34" i="78"/>
  <c r="M35" i="78"/>
  <c r="N35" i="78"/>
  <c r="M36" i="78"/>
  <c r="N36" i="78"/>
  <c r="M37" i="78"/>
  <c r="N37" i="78"/>
  <c r="M38" i="78"/>
  <c r="N38" i="78"/>
  <c r="M39" i="78"/>
  <c r="N39" i="78"/>
  <c r="M40" i="78"/>
  <c r="N40" i="78"/>
  <c r="M41" i="78"/>
  <c r="N41" i="78"/>
  <c r="M42" i="78"/>
  <c r="N42" i="78"/>
  <c r="M43" i="78"/>
  <c r="N43" i="78"/>
  <c r="M44" i="78"/>
  <c r="N44" i="78"/>
  <c r="M45" i="78"/>
  <c r="N45" i="78"/>
  <c r="M46" i="78"/>
  <c r="N46" i="78"/>
  <c r="M47" i="78"/>
  <c r="N47" i="78"/>
  <c r="M48" i="78"/>
  <c r="N48" i="78"/>
  <c r="M49" i="78"/>
  <c r="N49" i="78"/>
  <c r="M50" i="78"/>
  <c r="N50" i="78"/>
  <c r="M51" i="78"/>
  <c r="N51" i="78"/>
  <c r="M52" i="78"/>
  <c r="N52" i="78"/>
  <c r="M53" i="78"/>
  <c r="N53" i="78"/>
  <c r="M54" i="78"/>
  <c r="N54" i="78"/>
  <c r="M55" i="78"/>
  <c r="N55" i="78"/>
  <c r="N56" i="78" s="1"/>
  <c r="M57" i="78"/>
  <c r="N57" i="78"/>
  <c r="M58" i="78"/>
  <c r="N58" i="78"/>
  <c r="M59" i="78"/>
  <c r="N59" i="78"/>
  <c r="M61" i="78"/>
  <c r="N61" i="78"/>
  <c r="D61" i="15" s="1"/>
  <c r="G61" i="15" s="1"/>
  <c r="N6" i="78"/>
  <c r="M6" i="78"/>
  <c r="Y9" i="110"/>
  <c r="Y12" i="110"/>
  <c r="Y16" i="110"/>
  <c r="Y18" i="110"/>
  <c r="Y19" i="110"/>
  <c r="Y22" i="110"/>
  <c r="Y23" i="110"/>
  <c r="Y25" i="110"/>
  <c r="Y26" i="110"/>
  <c r="Y29" i="110"/>
  <c r="Y30" i="110"/>
  <c r="Y31" i="110"/>
  <c r="Y32" i="110"/>
  <c r="Y34" i="110"/>
  <c r="Y35" i="110"/>
  <c r="Y39" i="110"/>
  <c r="Y40" i="110"/>
  <c r="Y42" i="110"/>
  <c r="Y45" i="110"/>
  <c r="Y46" i="110"/>
  <c r="Y47" i="110"/>
  <c r="Y48" i="110"/>
  <c r="Y49" i="110"/>
  <c r="Y50" i="110"/>
  <c r="Y51" i="110"/>
  <c r="Y55" i="110"/>
  <c r="Y57" i="110"/>
  <c r="Y58" i="110"/>
  <c r="Y59" i="110"/>
  <c r="Y60" i="110"/>
  <c r="X60" i="110"/>
  <c r="X8" i="110"/>
  <c r="Y8" i="110" s="1"/>
  <c r="W9" i="110"/>
  <c r="X9" i="110"/>
  <c r="W10" i="110"/>
  <c r="X10" i="110"/>
  <c r="W12" i="110"/>
  <c r="X12" i="110"/>
  <c r="W13" i="110"/>
  <c r="X13" i="110"/>
  <c r="Y13" i="110" s="1"/>
  <c r="W14" i="110"/>
  <c r="X14" i="110"/>
  <c r="Y14" i="110" s="1"/>
  <c r="Y15" i="110"/>
  <c r="Y17" i="110"/>
  <c r="W20" i="110"/>
  <c r="X20" i="110"/>
  <c r="Y20" i="110" s="1"/>
  <c r="W21" i="110"/>
  <c r="X21" i="110"/>
  <c r="Y21" i="110" s="1"/>
  <c r="W22" i="110"/>
  <c r="X22" i="110"/>
  <c r="W23" i="110"/>
  <c r="X23" i="110"/>
  <c r="W25" i="110"/>
  <c r="X25" i="110"/>
  <c r="W26" i="110"/>
  <c r="X26" i="110"/>
  <c r="W27" i="110"/>
  <c r="X27" i="110"/>
  <c r="Y27" i="110" s="1"/>
  <c r="W29" i="110"/>
  <c r="X29" i="110"/>
  <c r="W30" i="110"/>
  <c r="X30" i="110"/>
  <c r="W31" i="110"/>
  <c r="X31" i="110"/>
  <c r="W32" i="110"/>
  <c r="X32" i="110"/>
  <c r="W34" i="110"/>
  <c r="X34" i="110"/>
  <c r="W35" i="110"/>
  <c r="X35" i="110"/>
  <c r="W36" i="110"/>
  <c r="X36" i="110"/>
  <c r="W37" i="110"/>
  <c r="X37" i="110"/>
  <c r="W39" i="110"/>
  <c r="X39" i="110"/>
  <c r="W40" i="110"/>
  <c r="X40" i="110"/>
  <c r="W42" i="110"/>
  <c r="X42" i="110"/>
  <c r="W43" i="110"/>
  <c r="X43" i="110"/>
  <c r="Y43" i="110" s="1"/>
  <c r="W44" i="110"/>
  <c r="X44" i="110"/>
  <c r="W45" i="110"/>
  <c r="X45" i="110"/>
  <c r="W46" i="110"/>
  <c r="X46" i="110"/>
  <c r="W47" i="110"/>
  <c r="X47" i="110"/>
  <c r="W48" i="110"/>
  <c r="X48" i="110"/>
  <c r="W49" i="110"/>
  <c r="X49" i="110"/>
  <c r="W50" i="110"/>
  <c r="X50" i="110"/>
  <c r="W51" i="110"/>
  <c r="X51" i="110"/>
  <c r="W52" i="110"/>
  <c r="X52" i="110"/>
  <c r="W53" i="110"/>
  <c r="X53" i="110"/>
  <c r="W54" i="110"/>
  <c r="X54" i="110"/>
  <c r="W55" i="110"/>
  <c r="X55" i="110"/>
  <c r="W57" i="110"/>
  <c r="W60" i="110" s="1"/>
  <c r="X57" i="110"/>
  <c r="W58" i="110"/>
  <c r="X58" i="110"/>
  <c r="W59" i="110"/>
  <c r="X59" i="110"/>
  <c r="M60" i="110"/>
  <c r="N60" i="110"/>
  <c r="W7" i="110"/>
  <c r="N7" i="110"/>
  <c r="X7" i="110" s="1"/>
  <c r="Y7" i="110" s="1"/>
  <c r="W8" i="110"/>
  <c r="N8" i="110"/>
  <c r="N9" i="110"/>
  <c r="N10" i="110"/>
  <c r="W11" i="110"/>
  <c r="N11" i="110"/>
  <c r="X11" i="110" s="1"/>
  <c r="Y11" i="110" s="1"/>
  <c r="N12" i="110"/>
  <c r="N13" i="110"/>
  <c r="M14" i="110"/>
  <c r="N14" i="110"/>
  <c r="M15" i="110"/>
  <c r="N15" i="110"/>
  <c r="M16" i="110"/>
  <c r="N16" i="110"/>
  <c r="M17" i="110"/>
  <c r="N17" i="110"/>
  <c r="M18" i="110"/>
  <c r="N18" i="110"/>
  <c r="M19" i="110"/>
  <c r="N19" i="110"/>
  <c r="M20" i="110"/>
  <c r="N20" i="110"/>
  <c r="M21" i="110"/>
  <c r="N21" i="110"/>
  <c r="M22" i="110"/>
  <c r="N22" i="110"/>
  <c r="M23" i="110"/>
  <c r="N23" i="110"/>
  <c r="M24" i="110"/>
  <c r="W24" i="110" s="1"/>
  <c r="N24" i="110"/>
  <c r="X24" i="110" s="1"/>
  <c r="Y24" i="110" s="1"/>
  <c r="M25" i="110"/>
  <c r="N25" i="110"/>
  <c r="M26" i="110"/>
  <c r="N26" i="110"/>
  <c r="M27" i="110"/>
  <c r="N27" i="110"/>
  <c r="M28" i="110"/>
  <c r="W28" i="110" s="1"/>
  <c r="N28" i="110"/>
  <c r="X28" i="110" s="1"/>
  <c r="Y28" i="110" s="1"/>
  <c r="M29" i="110"/>
  <c r="N29" i="110"/>
  <c r="M30" i="110"/>
  <c r="N30" i="110"/>
  <c r="M31" i="110"/>
  <c r="N31" i="110"/>
  <c r="M32" i="110"/>
  <c r="N32" i="110"/>
  <c r="M34" i="110"/>
  <c r="N34" i="110"/>
  <c r="M35" i="110"/>
  <c r="N35" i="110"/>
  <c r="M36" i="110"/>
  <c r="N36" i="110"/>
  <c r="M37" i="110"/>
  <c r="N37" i="110"/>
  <c r="M38" i="110"/>
  <c r="W38" i="110" s="1"/>
  <c r="N38" i="110"/>
  <c r="X38" i="110" s="1"/>
  <c r="M39" i="110"/>
  <c r="N39" i="110"/>
  <c r="M40" i="110"/>
  <c r="N40" i="110"/>
  <c r="M41" i="110"/>
  <c r="W41" i="110" s="1"/>
  <c r="N41" i="110"/>
  <c r="X41" i="110" s="1"/>
  <c r="Y41" i="110" s="1"/>
  <c r="M42" i="110"/>
  <c r="N42" i="110"/>
  <c r="M43" i="110"/>
  <c r="N43" i="110"/>
  <c r="M44" i="110"/>
  <c r="N44" i="110"/>
  <c r="M45" i="110"/>
  <c r="N45" i="110"/>
  <c r="M46" i="110"/>
  <c r="N46" i="110"/>
  <c r="M47" i="110"/>
  <c r="N47" i="110"/>
  <c r="M48" i="110"/>
  <c r="N48" i="110"/>
  <c r="M49" i="110"/>
  <c r="N49" i="110"/>
  <c r="M50" i="110"/>
  <c r="N50" i="110"/>
  <c r="M51" i="110"/>
  <c r="N51" i="110"/>
  <c r="M52" i="110"/>
  <c r="N52" i="110"/>
  <c r="M53" i="110"/>
  <c r="N53" i="110"/>
  <c r="M54" i="110"/>
  <c r="N54" i="110"/>
  <c r="M55" i="110"/>
  <c r="N55" i="110"/>
  <c r="M57" i="110"/>
  <c r="N57" i="110"/>
  <c r="M58" i="110"/>
  <c r="N58" i="110"/>
  <c r="M59" i="110"/>
  <c r="N59" i="110"/>
  <c r="M61" i="110"/>
  <c r="W61" i="110" s="1"/>
  <c r="W62" i="110" s="1"/>
  <c r="N61" i="110"/>
  <c r="X61" i="110" s="1"/>
  <c r="N6" i="110"/>
  <c r="X6" i="110" s="1"/>
  <c r="Y6" i="110" s="1"/>
  <c r="M6" i="110"/>
  <c r="W6" i="110" s="1"/>
  <c r="D62" i="110"/>
  <c r="D63" i="110" s="1"/>
  <c r="E62" i="110"/>
  <c r="F62" i="110"/>
  <c r="G62" i="110"/>
  <c r="H62" i="110"/>
  <c r="I62" i="110"/>
  <c r="J62" i="110"/>
  <c r="K62" i="110"/>
  <c r="L62" i="110"/>
  <c r="O62" i="110"/>
  <c r="P62" i="110"/>
  <c r="Q62" i="110"/>
  <c r="R62" i="110"/>
  <c r="S62" i="110"/>
  <c r="T62" i="110"/>
  <c r="U62" i="110"/>
  <c r="V62" i="110"/>
  <c r="C62" i="110"/>
  <c r="D60" i="110"/>
  <c r="E60" i="110"/>
  <c r="E63" i="110" s="1"/>
  <c r="F60" i="110"/>
  <c r="G60" i="110"/>
  <c r="H60" i="110"/>
  <c r="I60" i="110"/>
  <c r="I63" i="110" s="1"/>
  <c r="J60" i="110"/>
  <c r="J63" i="110" s="1"/>
  <c r="K60" i="110"/>
  <c r="L60" i="110"/>
  <c r="O60" i="110"/>
  <c r="P60" i="110"/>
  <c r="Q60" i="110"/>
  <c r="R60" i="110"/>
  <c r="S60" i="110"/>
  <c r="T60" i="110"/>
  <c r="U60" i="110"/>
  <c r="V60" i="110"/>
  <c r="C60" i="110"/>
  <c r="D56" i="110"/>
  <c r="E56" i="110"/>
  <c r="F56" i="110"/>
  <c r="G56" i="110"/>
  <c r="H56" i="110"/>
  <c r="I56" i="110"/>
  <c r="J56" i="110"/>
  <c r="K56" i="110"/>
  <c r="L56" i="110"/>
  <c r="O56" i="110"/>
  <c r="P56" i="110"/>
  <c r="Q56" i="110"/>
  <c r="R56" i="110"/>
  <c r="S56" i="110"/>
  <c r="T56" i="110"/>
  <c r="U56" i="110"/>
  <c r="V56" i="110"/>
  <c r="C56" i="110"/>
  <c r="D33" i="110"/>
  <c r="E33" i="110"/>
  <c r="F33" i="110"/>
  <c r="G33" i="110"/>
  <c r="H33" i="110"/>
  <c r="I33" i="110"/>
  <c r="J33" i="110"/>
  <c r="K33" i="110"/>
  <c r="L33" i="110"/>
  <c r="O33" i="110"/>
  <c r="P33" i="110"/>
  <c r="Q33" i="110"/>
  <c r="R33" i="110"/>
  <c r="S33" i="110"/>
  <c r="T33" i="110"/>
  <c r="U33" i="110"/>
  <c r="V33" i="110"/>
  <c r="C33" i="110"/>
  <c r="C63" i="110" l="1"/>
  <c r="W56" i="110"/>
  <c r="X56" i="110"/>
  <c r="Y56" i="110" s="1"/>
  <c r="Y38" i="110"/>
  <c r="N56" i="110"/>
  <c r="M56" i="110"/>
  <c r="N33" i="110"/>
  <c r="H63" i="110"/>
  <c r="G63" i="110"/>
  <c r="M33" i="110"/>
  <c r="N62" i="78"/>
  <c r="D62" i="15" s="1"/>
  <c r="C63" i="78"/>
  <c r="M63" i="78"/>
  <c r="L63" i="78"/>
  <c r="H63" i="78"/>
  <c r="D63" i="78"/>
  <c r="N33" i="78"/>
  <c r="X33" i="110"/>
  <c r="Y33" i="110" s="1"/>
  <c r="W33" i="110"/>
  <c r="P63" i="110"/>
  <c r="S63" i="110"/>
  <c r="O63" i="110"/>
  <c r="Y10" i="110"/>
  <c r="U63" i="110"/>
  <c r="T63" i="110"/>
  <c r="V63" i="110"/>
  <c r="R63" i="110"/>
  <c r="Q63" i="110"/>
  <c r="L63" i="110"/>
  <c r="K63" i="110"/>
  <c r="M62" i="110"/>
  <c r="X62" i="110"/>
  <c r="N62" i="110"/>
  <c r="N63" i="110" s="1"/>
  <c r="F63" i="110"/>
  <c r="M63" i="110" l="1"/>
  <c r="W63" i="110"/>
  <c r="N63" i="78"/>
  <c r="D63" i="15" s="1"/>
  <c r="X63" i="110"/>
  <c r="Y63" i="110" s="1"/>
  <c r="L29" i="109"/>
  <c r="L30" i="109"/>
  <c r="L31" i="109"/>
  <c r="L32" i="109"/>
  <c r="L34" i="109"/>
  <c r="L38" i="109"/>
  <c r="L39" i="109"/>
  <c r="L40" i="109"/>
  <c r="L41" i="109"/>
  <c r="L42" i="109"/>
  <c r="L43" i="109"/>
  <c r="L45" i="109"/>
  <c r="L46" i="109"/>
  <c r="L47" i="109"/>
  <c r="L48" i="109"/>
  <c r="L49" i="109"/>
  <c r="L50" i="109"/>
  <c r="L51" i="109"/>
  <c r="L52" i="109"/>
  <c r="L55" i="109"/>
  <c r="L57" i="109"/>
  <c r="L58" i="109"/>
  <c r="L59" i="109"/>
  <c r="G31" i="109"/>
  <c r="G32" i="109"/>
  <c r="G34" i="109"/>
  <c r="G35" i="109"/>
  <c r="G38" i="109"/>
  <c r="G39" i="109"/>
  <c r="G40" i="109"/>
  <c r="G41" i="109"/>
  <c r="G42" i="109"/>
  <c r="G43" i="109"/>
  <c r="G45" i="109"/>
  <c r="G46" i="109"/>
  <c r="G47" i="109"/>
  <c r="G48" i="109"/>
  <c r="G49" i="109"/>
  <c r="G50" i="109"/>
  <c r="G51" i="109"/>
  <c r="G52" i="109"/>
  <c r="G55" i="109"/>
  <c r="G57" i="109"/>
  <c r="G58" i="109"/>
  <c r="G59" i="109"/>
  <c r="G60" i="109"/>
  <c r="G61" i="109"/>
  <c r="H63" i="109"/>
  <c r="C63" i="109"/>
  <c r="D62" i="109"/>
  <c r="E62" i="109"/>
  <c r="F62" i="109"/>
  <c r="G62" i="109" s="1"/>
  <c r="H62" i="109"/>
  <c r="I62" i="109"/>
  <c r="J62" i="109"/>
  <c r="K62" i="109"/>
  <c r="M62" i="109"/>
  <c r="N62" i="109"/>
  <c r="C62" i="109"/>
  <c r="D60" i="109"/>
  <c r="E60" i="109"/>
  <c r="F60" i="109"/>
  <c r="H60" i="109"/>
  <c r="I60" i="109"/>
  <c r="J60" i="109"/>
  <c r="K60" i="109"/>
  <c r="L60" i="109" s="1"/>
  <c r="M60" i="109"/>
  <c r="N60" i="109"/>
  <c r="C60" i="109"/>
  <c r="D56" i="109"/>
  <c r="D63" i="109" s="1"/>
  <c r="E56" i="109"/>
  <c r="F56" i="109"/>
  <c r="G56" i="109" s="1"/>
  <c r="H56" i="109"/>
  <c r="I56" i="109"/>
  <c r="J56" i="109"/>
  <c r="K56" i="109"/>
  <c r="M56" i="109"/>
  <c r="N56" i="109"/>
  <c r="C56" i="109"/>
  <c r="D33" i="109"/>
  <c r="E33" i="109"/>
  <c r="F33" i="109"/>
  <c r="H33" i="109"/>
  <c r="I33" i="109"/>
  <c r="J33" i="109"/>
  <c r="K33" i="109"/>
  <c r="M33" i="109"/>
  <c r="N33" i="109"/>
  <c r="C33" i="109"/>
  <c r="L7" i="109"/>
  <c r="L8" i="109"/>
  <c r="L9" i="109"/>
  <c r="L10" i="109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27" i="109"/>
  <c r="L28" i="109"/>
  <c r="L6" i="109"/>
  <c r="G7" i="109"/>
  <c r="G8" i="109"/>
  <c r="G9" i="109"/>
  <c r="G10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G27" i="109"/>
  <c r="G28" i="109"/>
  <c r="G29" i="109"/>
  <c r="G30" i="109"/>
  <c r="G6" i="109"/>
  <c r="S7" i="109"/>
  <c r="S8" i="109"/>
  <c r="S9" i="109"/>
  <c r="S10" i="109"/>
  <c r="S11" i="109"/>
  <c r="S15" i="109"/>
  <c r="S16" i="109"/>
  <c r="S17" i="109"/>
  <c r="S19" i="109"/>
  <c r="S20" i="109"/>
  <c r="S21" i="109"/>
  <c r="S22" i="109"/>
  <c r="S23" i="109"/>
  <c r="S24" i="109"/>
  <c r="S25" i="109"/>
  <c r="S30" i="109"/>
  <c r="S31" i="109"/>
  <c r="S32" i="109"/>
  <c r="S34" i="109"/>
  <c r="S35" i="109"/>
  <c r="S38" i="109"/>
  <c r="S39" i="109"/>
  <c r="S40" i="109"/>
  <c r="S41" i="109"/>
  <c r="S42" i="109"/>
  <c r="S43" i="109"/>
  <c r="S45" i="109"/>
  <c r="S46" i="109"/>
  <c r="S47" i="109"/>
  <c r="S48" i="109"/>
  <c r="S49" i="109"/>
  <c r="S50" i="109"/>
  <c r="S51" i="109"/>
  <c r="S52" i="109"/>
  <c r="S58" i="109"/>
  <c r="Q6" i="109"/>
  <c r="P6" i="109"/>
  <c r="O6" i="109"/>
  <c r="L33" i="109" l="1"/>
  <c r="S55" i="109"/>
  <c r="N63" i="109"/>
  <c r="M63" i="109"/>
  <c r="S61" i="109"/>
  <c r="I63" i="109"/>
  <c r="L56" i="109"/>
  <c r="J63" i="109"/>
  <c r="K63" i="109"/>
  <c r="L63" i="109" s="1"/>
  <c r="F63" i="109"/>
  <c r="S62" i="109"/>
  <c r="E63" i="109"/>
  <c r="E66" i="109" s="1"/>
  <c r="G33" i="109"/>
  <c r="S57" i="109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27" i="71"/>
  <c r="Q28" i="71"/>
  <c r="Q29" i="71"/>
  <c r="Q30" i="71"/>
  <c r="Q31" i="71"/>
  <c r="Q32" i="71"/>
  <c r="Q34" i="71"/>
  <c r="Q35" i="71"/>
  <c r="Q38" i="71"/>
  <c r="Q39" i="71"/>
  <c r="Q40" i="71"/>
  <c r="Q41" i="71"/>
  <c r="Q42" i="71"/>
  <c r="Q43" i="71"/>
  <c r="Q45" i="71"/>
  <c r="Q46" i="71"/>
  <c r="Q47" i="71"/>
  <c r="Q48" i="71"/>
  <c r="Q49" i="71"/>
  <c r="Q50" i="71"/>
  <c r="Q51" i="71"/>
  <c r="Q52" i="71"/>
  <c r="Q55" i="71"/>
  <c r="Q57" i="71"/>
  <c r="Q58" i="71"/>
  <c r="Q59" i="71"/>
  <c r="Q61" i="71"/>
  <c r="Q6" i="71"/>
  <c r="L34" i="71"/>
  <c r="L35" i="71"/>
  <c r="L38" i="71"/>
  <c r="L39" i="71"/>
  <c r="L40" i="71"/>
  <c r="L41" i="71"/>
  <c r="L42" i="71"/>
  <c r="L43" i="71"/>
  <c r="L45" i="71"/>
  <c r="L46" i="71"/>
  <c r="L47" i="71"/>
  <c r="L48" i="71"/>
  <c r="L49" i="71"/>
  <c r="L50" i="71"/>
  <c r="L51" i="71"/>
  <c r="L52" i="71"/>
  <c r="L55" i="71"/>
  <c r="L57" i="71"/>
  <c r="L58" i="71"/>
  <c r="L59" i="71"/>
  <c r="L60" i="71"/>
  <c r="L61" i="71"/>
  <c r="L7" i="71"/>
  <c r="L8" i="71"/>
  <c r="L9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L30" i="71"/>
  <c r="L31" i="71"/>
  <c r="L32" i="71"/>
  <c r="L6" i="71"/>
  <c r="G34" i="71"/>
  <c r="G42" i="71"/>
  <c r="G56" i="71"/>
  <c r="G8" i="71"/>
  <c r="G9" i="71"/>
  <c r="G12" i="71"/>
  <c r="G13" i="71"/>
  <c r="G14" i="71"/>
  <c r="G19" i="71"/>
  <c r="G21" i="71"/>
  <c r="G27" i="71"/>
  <c r="G29" i="71"/>
  <c r="G30" i="71"/>
  <c r="G6" i="71"/>
  <c r="H63" i="71"/>
  <c r="D62" i="71"/>
  <c r="E62" i="71"/>
  <c r="F62" i="71"/>
  <c r="H62" i="71"/>
  <c r="I62" i="71"/>
  <c r="J62" i="71"/>
  <c r="K62" i="71"/>
  <c r="L62" i="71" s="1"/>
  <c r="M62" i="71"/>
  <c r="N62" i="71"/>
  <c r="O62" i="71"/>
  <c r="P62" i="71"/>
  <c r="Q62" i="71" s="1"/>
  <c r="D60" i="71"/>
  <c r="E60" i="71"/>
  <c r="F60" i="71"/>
  <c r="H60" i="71"/>
  <c r="I60" i="71"/>
  <c r="J60" i="71"/>
  <c r="K60" i="71"/>
  <c r="M60" i="71"/>
  <c r="N60" i="71"/>
  <c r="O60" i="71"/>
  <c r="P60" i="71"/>
  <c r="Q60" i="71" s="1"/>
  <c r="D33" i="71"/>
  <c r="D63" i="71" s="1"/>
  <c r="E33" i="71"/>
  <c r="F33" i="71"/>
  <c r="H33" i="71"/>
  <c r="I33" i="71"/>
  <c r="J33" i="71"/>
  <c r="J63" i="71" s="1"/>
  <c r="K33" i="71"/>
  <c r="M33" i="71"/>
  <c r="N33" i="71"/>
  <c r="O33" i="71"/>
  <c r="P33" i="71"/>
  <c r="Q33" i="71" s="1"/>
  <c r="D56" i="71"/>
  <c r="E56" i="71"/>
  <c r="F56" i="71"/>
  <c r="H56" i="71"/>
  <c r="I56" i="71"/>
  <c r="L56" i="71" s="1"/>
  <c r="J56" i="71"/>
  <c r="K56" i="71"/>
  <c r="M56" i="71"/>
  <c r="M63" i="71" s="1"/>
  <c r="N56" i="71"/>
  <c r="N63" i="71" s="1"/>
  <c r="O56" i="71"/>
  <c r="P56" i="71"/>
  <c r="C63" i="71"/>
  <c r="C62" i="71"/>
  <c r="C60" i="71"/>
  <c r="C56" i="71"/>
  <c r="C33" i="71"/>
  <c r="S56" i="109" l="1"/>
  <c r="L33" i="71"/>
  <c r="G33" i="71"/>
  <c r="G63" i="109"/>
  <c r="F66" i="109"/>
  <c r="O63" i="71"/>
  <c r="P63" i="71"/>
  <c r="Q63" i="71" s="1"/>
  <c r="I63" i="71"/>
  <c r="Q56" i="71"/>
  <c r="K63" i="71"/>
  <c r="F63" i="71"/>
  <c r="G63" i="71" s="1"/>
  <c r="E63" i="71"/>
  <c r="O62" i="93"/>
  <c r="P62" i="93"/>
  <c r="O60" i="93"/>
  <c r="P60" i="93"/>
  <c r="Q60" i="93" s="1"/>
  <c r="P32" i="93"/>
  <c r="P34" i="93"/>
  <c r="P36" i="93"/>
  <c r="P37" i="93"/>
  <c r="P38" i="93"/>
  <c r="P39" i="93"/>
  <c r="P40" i="93"/>
  <c r="P41" i="93"/>
  <c r="P42" i="93"/>
  <c r="P43" i="93"/>
  <c r="P44" i="93"/>
  <c r="P45" i="93"/>
  <c r="P53" i="93"/>
  <c r="P54" i="93"/>
  <c r="P55" i="93"/>
  <c r="P56" i="93" s="1"/>
  <c r="P57" i="93"/>
  <c r="P58" i="93"/>
  <c r="P59" i="93"/>
  <c r="Q59" i="93" s="1"/>
  <c r="P61" i="93"/>
  <c r="O7" i="93"/>
  <c r="O8" i="93"/>
  <c r="O9" i="93"/>
  <c r="O10" i="93"/>
  <c r="O11" i="93"/>
  <c r="O12" i="93"/>
  <c r="O13" i="93"/>
  <c r="O14" i="93"/>
  <c r="O15" i="93"/>
  <c r="O16" i="93"/>
  <c r="O17" i="93"/>
  <c r="O18" i="93"/>
  <c r="O19" i="93"/>
  <c r="O20" i="93"/>
  <c r="O21" i="93"/>
  <c r="O22" i="93"/>
  <c r="O23" i="93"/>
  <c r="O24" i="93"/>
  <c r="O25" i="93"/>
  <c r="O26" i="93"/>
  <c r="O27" i="93"/>
  <c r="O28" i="93"/>
  <c r="O29" i="93"/>
  <c r="O30" i="93"/>
  <c r="O31" i="93"/>
  <c r="O32" i="93"/>
  <c r="O34" i="93"/>
  <c r="O36" i="93"/>
  <c r="O37" i="93"/>
  <c r="O38" i="93"/>
  <c r="O39" i="93"/>
  <c r="O40" i="93"/>
  <c r="O41" i="93"/>
  <c r="O42" i="93"/>
  <c r="O43" i="93"/>
  <c r="O44" i="93"/>
  <c r="O45" i="93"/>
  <c r="O53" i="93"/>
  <c r="O54" i="93"/>
  <c r="O55" i="93"/>
  <c r="O56" i="93" s="1"/>
  <c r="O57" i="93"/>
  <c r="O58" i="93"/>
  <c r="O59" i="93"/>
  <c r="O61" i="93"/>
  <c r="Q57" i="93"/>
  <c r="Q58" i="93"/>
  <c r="Q61" i="93"/>
  <c r="Q62" i="93"/>
  <c r="E62" i="93"/>
  <c r="F62" i="93"/>
  <c r="G62" i="93"/>
  <c r="H62" i="93"/>
  <c r="I62" i="93"/>
  <c r="J62" i="93"/>
  <c r="K62" i="93"/>
  <c r="L62" i="93"/>
  <c r="M62" i="93"/>
  <c r="N62" i="93"/>
  <c r="E60" i="93"/>
  <c r="F60" i="93"/>
  <c r="G60" i="93"/>
  <c r="H60" i="93"/>
  <c r="I60" i="93"/>
  <c r="J60" i="93"/>
  <c r="K60" i="93"/>
  <c r="L60" i="93"/>
  <c r="M60" i="93"/>
  <c r="N60" i="93"/>
  <c r="E56" i="93"/>
  <c r="F56" i="93"/>
  <c r="G56" i="93"/>
  <c r="H56" i="93"/>
  <c r="I56" i="93"/>
  <c r="J56" i="93"/>
  <c r="K56" i="93"/>
  <c r="L56" i="93"/>
  <c r="M56" i="93"/>
  <c r="N56" i="93"/>
  <c r="E33" i="93"/>
  <c r="F33" i="93"/>
  <c r="F63" i="93" s="1"/>
  <c r="G33" i="93"/>
  <c r="G63" i="93" s="1"/>
  <c r="H33" i="93"/>
  <c r="I33" i="93"/>
  <c r="J33" i="93"/>
  <c r="J63" i="93" s="1"/>
  <c r="K33" i="93"/>
  <c r="L33" i="93"/>
  <c r="M33" i="93"/>
  <c r="N33" i="93"/>
  <c r="N63" i="93" s="1"/>
  <c r="C63" i="93"/>
  <c r="D62" i="93"/>
  <c r="C62" i="93"/>
  <c r="D60" i="93"/>
  <c r="C60" i="93"/>
  <c r="D56" i="93"/>
  <c r="C56" i="93"/>
  <c r="D33" i="93"/>
  <c r="D63" i="93" s="1"/>
  <c r="C33" i="93"/>
  <c r="Q34" i="108"/>
  <c r="Q35" i="108"/>
  <c r="Q39" i="108"/>
  <c r="Q40" i="108"/>
  <c r="Q41" i="108"/>
  <c r="Q42" i="108"/>
  <c r="Q43" i="108"/>
  <c r="Q45" i="108"/>
  <c r="Q46" i="108"/>
  <c r="Q47" i="108"/>
  <c r="Q49" i="108"/>
  <c r="Q51" i="108"/>
  <c r="Q52" i="108"/>
  <c r="Q57" i="108"/>
  <c r="Q58" i="108"/>
  <c r="L34" i="108"/>
  <c r="L35" i="108"/>
  <c r="L39" i="108"/>
  <c r="L40" i="108"/>
  <c r="L41" i="108"/>
  <c r="L42" i="108"/>
  <c r="L43" i="108"/>
  <c r="L45" i="108"/>
  <c r="L46" i="108"/>
  <c r="L47" i="108"/>
  <c r="L49" i="108"/>
  <c r="L51" i="108"/>
  <c r="L52" i="108"/>
  <c r="L55" i="108"/>
  <c r="L57" i="108"/>
  <c r="L58" i="108"/>
  <c r="L59" i="108"/>
  <c r="L61" i="108"/>
  <c r="G34" i="108"/>
  <c r="G35" i="108"/>
  <c r="G39" i="108"/>
  <c r="G40" i="108"/>
  <c r="G41" i="108"/>
  <c r="G42" i="108"/>
  <c r="G43" i="108"/>
  <c r="G45" i="108"/>
  <c r="G46" i="108"/>
  <c r="G47" i="108"/>
  <c r="G49" i="108"/>
  <c r="G51" i="108"/>
  <c r="G52" i="108"/>
  <c r="G55" i="108"/>
  <c r="G57" i="108"/>
  <c r="G58" i="108"/>
  <c r="G59" i="108"/>
  <c r="G60" i="108"/>
  <c r="G61" i="108"/>
  <c r="D63" i="108"/>
  <c r="H63" i="108"/>
  <c r="I63" i="108"/>
  <c r="M63" i="108"/>
  <c r="D62" i="108"/>
  <c r="E62" i="108"/>
  <c r="F62" i="108"/>
  <c r="G62" i="108" s="1"/>
  <c r="H62" i="108"/>
  <c r="I62" i="108"/>
  <c r="J62" i="108"/>
  <c r="K62" i="108"/>
  <c r="L62" i="108" s="1"/>
  <c r="M62" i="108"/>
  <c r="N62" i="108"/>
  <c r="D60" i="108"/>
  <c r="E60" i="108"/>
  <c r="F60" i="108"/>
  <c r="H60" i="108"/>
  <c r="I60" i="108"/>
  <c r="J60" i="108"/>
  <c r="K60" i="108"/>
  <c r="L60" i="108" s="1"/>
  <c r="M60" i="108"/>
  <c r="N60" i="108"/>
  <c r="D56" i="108"/>
  <c r="E56" i="108"/>
  <c r="F56" i="108"/>
  <c r="G56" i="108" s="1"/>
  <c r="H56" i="108"/>
  <c r="I56" i="108"/>
  <c r="J56" i="108"/>
  <c r="K56" i="108"/>
  <c r="L56" i="108" s="1"/>
  <c r="M56" i="108"/>
  <c r="N56" i="108"/>
  <c r="D33" i="108"/>
  <c r="E33" i="108"/>
  <c r="F33" i="108"/>
  <c r="G33" i="108" s="1"/>
  <c r="H33" i="108"/>
  <c r="I33" i="108"/>
  <c r="J33" i="108"/>
  <c r="K33" i="108"/>
  <c r="L33" i="108" s="1"/>
  <c r="M33" i="108"/>
  <c r="N33" i="108"/>
  <c r="P33" i="109" s="1"/>
  <c r="Q7" i="108"/>
  <c r="Q8" i="108"/>
  <c r="Q9" i="108"/>
  <c r="Q11" i="108"/>
  <c r="Q15" i="108"/>
  <c r="Q16" i="108"/>
  <c r="Q17" i="108"/>
  <c r="Q19" i="108"/>
  <c r="Q20" i="108"/>
  <c r="Q21" i="108"/>
  <c r="Q22" i="108"/>
  <c r="Q23" i="108"/>
  <c r="Q24" i="108"/>
  <c r="Q25" i="108"/>
  <c r="Q30" i="108"/>
  <c r="Q31" i="108"/>
  <c r="Q32" i="108"/>
  <c r="Q6" i="108"/>
  <c r="S14" i="109"/>
  <c r="S18" i="109"/>
  <c r="S26" i="109"/>
  <c r="S28" i="109"/>
  <c r="S29" i="109"/>
  <c r="Q55" i="108"/>
  <c r="Q61" i="108"/>
  <c r="P6" i="108"/>
  <c r="O6" i="108"/>
  <c r="L7" i="108"/>
  <c r="L8" i="108"/>
  <c r="L9" i="108"/>
  <c r="L10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7" i="108"/>
  <c r="L28" i="108"/>
  <c r="L29" i="108"/>
  <c r="L30" i="108"/>
  <c r="L31" i="108"/>
  <c r="L32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22" i="108"/>
  <c r="G23" i="108"/>
  <c r="G24" i="108"/>
  <c r="G25" i="108"/>
  <c r="G26" i="108"/>
  <c r="G27" i="108"/>
  <c r="G28" i="108"/>
  <c r="G29" i="108"/>
  <c r="G30" i="108"/>
  <c r="G31" i="108"/>
  <c r="G32" i="108"/>
  <c r="G6" i="108"/>
  <c r="M7" i="108"/>
  <c r="N7" i="108"/>
  <c r="M8" i="108"/>
  <c r="N8" i="108"/>
  <c r="M9" i="108"/>
  <c r="N9" i="108"/>
  <c r="M10" i="108"/>
  <c r="N10" i="108"/>
  <c r="M11" i="108"/>
  <c r="N11" i="108"/>
  <c r="M12" i="108"/>
  <c r="N12" i="108"/>
  <c r="M13" i="108"/>
  <c r="N13" i="108"/>
  <c r="M14" i="108"/>
  <c r="N14" i="108"/>
  <c r="M15" i="108"/>
  <c r="N15" i="108"/>
  <c r="M16" i="108"/>
  <c r="N16" i="108"/>
  <c r="M17" i="108"/>
  <c r="N17" i="108"/>
  <c r="M18" i="108"/>
  <c r="N18" i="108"/>
  <c r="M19" i="108"/>
  <c r="N19" i="108"/>
  <c r="M20" i="108"/>
  <c r="N20" i="108"/>
  <c r="M21" i="108"/>
  <c r="N21" i="108"/>
  <c r="M22" i="108"/>
  <c r="N22" i="108"/>
  <c r="M23" i="108"/>
  <c r="N23" i="108"/>
  <c r="M24" i="108"/>
  <c r="N24" i="108"/>
  <c r="M25" i="108"/>
  <c r="N25" i="108"/>
  <c r="M26" i="108"/>
  <c r="N26" i="108"/>
  <c r="M27" i="108"/>
  <c r="N27" i="108"/>
  <c r="P27" i="109" s="1"/>
  <c r="S27" i="109" s="1"/>
  <c r="M28" i="108"/>
  <c r="N28" i="108"/>
  <c r="M29" i="108"/>
  <c r="N29" i="108"/>
  <c r="M30" i="108"/>
  <c r="N30" i="108"/>
  <c r="M31" i="108"/>
  <c r="N31" i="108"/>
  <c r="M32" i="108"/>
  <c r="N32" i="108"/>
  <c r="M34" i="108"/>
  <c r="N34" i="108"/>
  <c r="M35" i="108"/>
  <c r="N35" i="108"/>
  <c r="M36" i="108"/>
  <c r="N36" i="108"/>
  <c r="M37" i="108"/>
  <c r="N37" i="108"/>
  <c r="M38" i="108"/>
  <c r="N38" i="108"/>
  <c r="M39" i="108"/>
  <c r="N39" i="108"/>
  <c r="M40" i="108"/>
  <c r="N40" i="108"/>
  <c r="M41" i="108"/>
  <c r="N41" i="108"/>
  <c r="M42" i="108"/>
  <c r="N42" i="108"/>
  <c r="M43" i="108"/>
  <c r="N43" i="108"/>
  <c r="M44" i="108"/>
  <c r="N44" i="108"/>
  <c r="M45" i="108"/>
  <c r="N45" i="108"/>
  <c r="M46" i="108"/>
  <c r="N46" i="108"/>
  <c r="M47" i="108"/>
  <c r="N47" i="108"/>
  <c r="M48" i="108"/>
  <c r="N48" i="108"/>
  <c r="M49" i="108"/>
  <c r="N49" i="108"/>
  <c r="M50" i="108"/>
  <c r="N50" i="108"/>
  <c r="M51" i="108"/>
  <c r="N51" i="108"/>
  <c r="M52" i="108"/>
  <c r="N52" i="108"/>
  <c r="M53" i="108"/>
  <c r="N53" i="108"/>
  <c r="M54" i="108"/>
  <c r="N54" i="108"/>
  <c r="M55" i="108"/>
  <c r="N55" i="108"/>
  <c r="M57" i="108"/>
  <c r="N57" i="108"/>
  <c r="M58" i="108"/>
  <c r="N58" i="108"/>
  <c r="M59" i="108"/>
  <c r="N59" i="108"/>
  <c r="M61" i="108"/>
  <c r="N61" i="108"/>
  <c r="N6" i="108"/>
  <c r="M6" i="108"/>
  <c r="C63" i="108"/>
  <c r="C62" i="108"/>
  <c r="C60" i="108"/>
  <c r="C56" i="108"/>
  <c r="C33" i="108"/>
  <c r="Q27" i="108" l="1"/>
  <c r="N63" i="108"/>
  <c r="P63" i="109" s="1"/>
  <c r="P67" i="109" s="1"/>
  <c r="S67" i="109" s="1"/>
  <c r="Q60" i="108"/>
  <c r="S59" i="109"/>
  <c r="S60" i="109"/>
  <c r="Q59" i="108"/>
  <c r="Q18" i="108"/>
  <c r="Q13" i="108"/>
  <c r="S13" i="109"/>
  <c r="Q29" i="108"/>
  <c r="Q28" i="108"/>
  <c r="Q14" i="108"/>
  <c r="E63" i="108"/>
  <c r="Q26" i="108"/>
  <c r="L63" i="71"/>
  <c r="S12" i="109"/>
  <c r="Q12" i="108"/>
  <c r="O33" i="93"/>
  <c r="O63" i="93" s="1"/>
  <c r="Q33" i="108"/>
  <c r="K63" i="93"/>
  <c r="M63" i="93"/>
  <c r="I63" i="93"/>
  <c r="E63" i="93"/>
  <c r="L63" i="93"/>
  <c r="H63" i="93"/>
  <c r="Q10" i="108"/>
  <c r="Q56" i="108"/>
  <c r="J63" i="108"/>
  <c r="F63" i="108"/>
  <c r="G63" i="108" s="1"/>
  <c r="K63" i="108"/>
  <c r="L63" i="108" s="1"/>
  <c r="Q62" i="108" l="1"/>
  <c r="Q63" i="108"/>
  <c r="L7" i="73" l="1"/>
  <c r="L8" i="73"/>
  <c r="L9" i="73"/>
  <c r="L10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7" i="73"/>
  <c r="L28" i="73"/>
  <c r="L29" i="73"/>
  <c r="L30" i="73"/>
  <c r="L31" i="73"/>
  <c r="L32" i="73"/>
  <c r="L34" i="73"/>
  <c r="L35" i="73"/>
  <c r="L39" i="73"/>
  <c r="L40" i="73"/>
  <c r="L41" i="73"/>
  <c r="L42" i="73"/>
  <c r="L43" i="73"/>
  <c r="L45" i="73"/>
  <c r="L46" i="73"/>
  <c r="L47" i="73"/>
  <c r="L49" i="73"/>
  <c r="L51" i="73"/>
  <c r="L52" i="73"/>
  <c r="L55" i="73"/>
  <c r="L56" i="73"/>
  <c r="L57" i="73"/>
  <c r="L58" i="73"/>
  <c r="L59" i="73"/>
  <c r="L60" i="73"/>
  <c r="L61" i="73"/>
  <c r="L62" i="73"/>
  <c r="G7" i="73"/>
  <c r="G8" i="73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G23" i="73"/>
  <c r="G24" i="73"/>
  <c r="G25" i="73"/>
  <c r="G26" i="73"/>
  <c r="G27" i="73"/>
  <c r="G28" i="73"/>
  <c r="G29" i="73"/>
  <c r="G30" i="73"/>
  <c r="G31" i="73"/>
  <c r="G32" i="73"/>
  <c r="G34" i="73"/>
  <c r="G35" i="73"/>
  <c r="G39" i="73"/>
  <c r="G40" i="73"/>
  <c r="G41" i="73"/>
  <c r="G42" i="73"/>
  <c r="G43" i="73"/>
  <c r="G45" i="73"/>
  <c r="G46" i="73"/>
  <c r="G47" i="73"/>
  <c r="G49" i="73"/>
  <c r="G51" i="73"/>
  <c r="G52" i="73"/>
  <c r="G55" i="73"/>
  <c r="G57" i="73"/>
  <c r="G58" i="73"/>
  <c r="G59" i="73"/>
  <c r="G60" i="73"/>
  <c r="G61" i="73"/>
  <c r="G62" i="73"/>
  <c r="I63" i="73"/>
  <c r="C63" i="73"/>
  <c r="D62" i="73"/>
  <c r="E62" i="73"/>
  <c r="F62" i="73"/>
  <c r="H62" i="73"/>
  <c r="I62" i="73"/>
  <c r="J62" i="73"/>
  <c r="K62" i="73"/>
  <c r="C62" i="73"/>
  <c r="D60" i="73"/>
  <c r="E60" i="73"/>
  <c r="F60" i="73"/>
  <c r="H60" i="73"/>
  <c r="I60" i="73"/>
  <c r="J60" i="73"/>
  <c r="K60" i="73"/>
  <c r="C60" i="73"/>
  <c r="D56" i="73"/>
  <c r="E56" i="73"/>
  <c r="F56" i="73"/>
  <c r="G56" i="73" s="1"/>
  <c r="H56" i="73"/>
  <c r="I56" i="73"/>
  <c r="J56" i="73"/>
  <c r="K56" i="73"/>
  <c r="C56" i="73"/>
  <c r="D33" i="73"/>
  <c r="D63" i="73" s="1"/>
  <c r="E33" i="73"/>
  <c r="F33" i="73"/>
  <c r="H33" i="73"/>
  <c r="H63" i="73" s="1"/>
  <c r="I33" i="73"/>
  <c r="J33" i="73"/>
  <c r="K33" i="73"/>
  <c r="K63" i="73" s="1"/>
  <c r="L63" i="73" s="1"/>
  <c r="C33" i="73"/>
  <c r="G33" i="73" l="1"/>
  <c r="J63" i="73"/>
  <c r="L33" i="73"/>
  <c r="E63" i="73"/>
  <c r="F63" i="73"/>
  <c r="G63" i="73" s="1"/>
  <c r="J7" i="9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7" i="9"/>
  <c r="J58" i="9"/>
  <c r="J59" i="9"/>
  <c r="J61" i="9"/>
  <c r="J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7" i="9"/>
  <c r="I58" i="9"/>
  <c r="I59" i="9"/>
  <c r="I61" i="9"/>
  <c r="I6" i="9"/>
  <c r="T24" i="105"/>
  <c r="F6" i="112"/>
  <c r="F7" i="112"/>
  <c r="F8" i="112"/>
  <c r="F9" i="112"/>
  <c r="F10" i="112"/>
  <c r="F11" i="112"/>
  <c r="F12" i="112"/>
  <c r="F13" i="112"/>
  <c r="F14" i="112"/>
  <c r="F15" i="112"/>
  <c r="F16" i="112"/>
  <c r="F17" i="112"/>
  <c r="F18" i="112"/>
  <c r="F19" i="112"/>
  <c r="F20" i="112"/>
  <c r="F21" i="112"/>
  <c r="F22" i="112"/>
  <c r="F23" i="112"/>
  <c r="F24" i="112"/>
  <c r="F25" i="112"/>
  <c r="F26" i="112"/>
  <c r="F27" i="112"/>
  <c r="F28" i="112"/>
  <c r="F29" i="112"/>
  <c r="F30" i="112"/>
  <c r="F31" i="112"/>
  <c r="F32" i="112"/>
  <c r="F33" i="112"/>
  <c r="F34" i="112"/>
  <c r="F35" i="112"/>
  <c r="F36" i="112"/>
  <c r="F37" i="112"/>
  <c r="F38" i="112"/>
  <c r="F39" i="112"/>
  <c r="F40" i="112"/>
  <c r="F41" i="112"/>
  <c r="F42" i="112"/>
  <c r="F43" i="112"/>
  <c r="F44" i="112"/>
  <c r="F45" i="112"/>
  <c r="F46" i="112"/>
  <c r="F47" i="112"/>
  <c r="F48" i="112"/>
  <c r="F49" i="112"/>
  <c r="F50" i="112"/>
  <c r="F51" i="112"/>
  <c r="F52" i="112"/>
  <c r="F53" i="112"/>
  <c r="F54" i="112"/>
  <c r="F55" i="112"/>
  <c r="F5" i="112"/>
  <c r="E55" i="112"/>
  <c r="E54" i="112"/>
  <c r="E53" i="112"/>
  <c r="E52" i="112"/>
  <c r="E51" i="112"/>
  <c r="E50" i="112"/>
  <c r="E49" i="112"/>
  <c r="E48" i="112"/>
  <c r="E47" i="112"/>
  <c r="E46" i="112"/>
  <c r="E45" i="112"/>
  <c r="E44" i="112"/>
  <c r="E43" i="112"/>
  <c r="E42" i="112"/>
  <c r="E41" i="112"/>
  <c r="E40" i="112"/>
  <c r="E39" i="112"/>
  <c r="E38" i="112"/>
  <c r="E37" i="112"/>
  <c r="E36" i="112"/>
  <c r="E35" i="112"/>
  <c r="E34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E7" i="112"/>
  <c r="E6" i="112"/>
  <c r="E5" i="112"/>
  <c r="D62" i="106" l="1"/>
  <c r="G62" i="106"/>
  <c r="H62" i="106"/>
  <c r="K62" i="106"/>
  <c r="L62" i="106"/>
  <c r="M62" i="106"/>
  <c r="N62" i="106"/>
  <c r="O62" i="106"/>
  <c r="P62" i="106"/>
  <c r="D60" i="106"/>
  <c r="G60" i="106"/>
  <c r="H60" i="106"/>
  <c r="K60" i="106"/>
  <c r="L60" i="106"/>
  <c r="M60" i="106"/>
  <c r="N60" i="106"/>
  <c r="O60" i="106"/>
  <c r="P60" i="106"/>
  <c r="D56" i="106"/>
  <c r="D63" i="106" s="1"/>
  <c r="G56" i="106"/>
  <c r="H56" i="106"/>
  <c r="H63" i="106" s="1"/>
  <c r="K56" i="106"/>
  <c r="L56" i="106"/>
  <c r="M56" i="106"/>
  <c r="N56" i="106"/>
  <c r="O56" i="106"/>
  <c r="P56" i="106"/>
  <c r="P63" i="106" s="1"/>
  <c r="D33" i="106"/>
  <c r="G33" i="106"/>
  <c r="H33" i="106"/>
  <c r="K33" i="106"/>
  <c r="L33" i="106"/>
  <c r="M33" i="106"/>
  <c r="M63" i="106" s="1"/>
  <c r="N33" i="106"/>
  <c r="O33" i="106"/>
  <c r="P33" i="106"/>
  <c r="Q7" i="106"/>
  <c r="Q8" i="106"/>
  <c r="Q9" i="106"/>
  <c r="Q10" i="106"/>
  <c r="Q11" i="106"/>
  <c r="Q12" i="106"/>
  <c r="Q13" i="106"/>
  <c r="Q14" i="106"/>
  <c r="Q15" i="106"/>
  <c r="Q16" i="106"/>
  <c r="Q17" i="106"/>
  <c r="Q18" i="106"/>
  <c r="Q19" i="106"/>
  <c r="Q20" i="106"/>
  <c r="Q21" i="106"/>
  <c r="Q22" i="106"/>
  <c r="Q23" i="106"/>
  <c r="Q24" i="106"/>
  <c r="Q25" i="106"/>
  <c r="Q26" i="106"/>
  <c r="Q27" i="106"/>
  <c r="Q28" i="106"/>
  <c r="Q29" i="106"/>
  <c r="Q30" i="106"/>
  <c r="Q31" i="106"/>
  <c r="Q32" i="106"/>
  <c r="Q34" i="106"/>
  <c r="Q35" i="106"/>
  <c r="Q36" i="106"/>
  <c r="Q37" i="106"/>
  <c r="Q38" i="106"/>
  <c r="Q39" i="106"/>
  <c r="Q40" i="106"/>
  <c r="Q41" i="106"/>
  <c r="Q42" i="106"/>
  <c r="Q43" i="106"/>
  <c r="Q44" i="106"/>
  <c r="Q45" i="106"/>
  <c r="Q46" i="106"/>
  <c r="Q47" i="106"/>
  <c r="Q48" i="106"/>
  <c r="Q49" i="106"/>
  <c r="Q50" i="106"/>
  <c r="Q51" i="106"/>
  <c r="Q52" i="106"/>
  <c r="Q53" i="106"/>
  <c r="Q54" i="106"/>
  <c r="Q55" i="106"/>
  <c r="Q57" i="106"/>
  <c r="Q58" i="106"/>
  <c r="Q59" i="106"/>
  <c r="Q61" i="106"/>
  <c r="Q62" i="106" s="1"/>
  <c r="Q6" i="106"/>
  <c r="R7" i="106"/>
  <c r="S7" i="106" s="1"/>
  <c r="R8" i="106"/>
  <c r="S8" i="106" s="1"/>
  <c r="R9" i="106"/>
  <c r="S9" i="106" s="1"/>
  <c r="R10" i="106"/>
  <c r="S10" i="106" s="1"/>
  <c r="R11" i="106"/>
  <c r="S11" i="106" s="1"/>
  <c r="R12" i="106"/>
  <c r="S12" i="106" s="1"/>
  <c r="R13" i="106"/>
  <c r="S13" i="106" s="1"/>
  <c r="R14" i="106"/>
  <c r="S14" i="106" s="1"/>
  <c r="R15" i="106"/>
  <c r="S15" i="106" s="1"/>
  <c r="R16" i="106"/>
  <c r="S16" i="106" s="1"/>
  <c r="R17" i="106"/>
  <c r="S17" i="106" s="1"/>
  <c r="R18" i="106"/>
  <c r="S18" i="106" s="1"/>
  <c r="R19" i="106"/>
  <c r="S19" i="106" s="1"/>
  <c r="R20" i="106"/>
  <c r="S20" i="106" s="1"/>
  <c r="R21" i="106"/>
  <c r="S21" i="106" s="1"/>
  <c r="R22" i="106"/>
  <c r="S22" i="106" s="1"/>
  <c r="R23" i="106"/>
  <c r="S23" i="106" s="1"/>
  <c r="R24" i="106"/>
  <c r="S24" i="106" s="1"/>
  <c r="R25" i="106"/>
  <c r="S25" i="106" s="1"/>
  <c r="R26" i="106"/>
  <c r="S26" i="106" s="1"/>
  <c r="R27" i="106"/>
  <c r="S27" i="106" s="1"/>
  <c r="R28" i="106"/>
  <c r="S28" i="106" s="1"/>
  <c r="R29" i="106"/>
  <c r="S29" i="106" s="1"/>
  <c r="R30" i="106"/>
  <c r="S30" i="106" s="1"/>
  <c r="R31" i="106"/>
  <c r="S31" i="106" s="1"/>
  <c r="R32" i="106"/>
  <c r="S32" i="106" s="1"/>
  <c r="R34" i="106"/>
  <c r="S34" i="106" s="1"/>
  <c r="R35" i="106"/>
  <c r="S35" i="106" s="1"/>
  <c r="R36" i="106"/>
  <c r="S36" i="106" s="1"/>
  <c r="R37" i="106"/>
  <c r="S37" i="106" s="1"/>
  <c r="R38" i="106"/>
  <c r="S38" i="106" s="1"/>
  <c r="R39" i="106"/>
  <c r="S39" i="106" s="1"/>
  <c r="R40" i="106"/>
  <c r="S40" i="106" s="1"/>
  <c r="R41" i="106"/>
  <c r="S41" i="106" s="1"/>
  <c r="R42" i="106"/>
  <c r="S42" i="106" s="1"/>
  <c r="R43" i="106"/>
  <c r="S43" i="106" s="1"/>
  <c r="R44" i="106"/>
  <c r="S44" i="106" s="1"/>
  <c r="R45" i="106"/>
  <c r="S45" i="106" s="1"/>
  <c r="R46" i="106"/>
  <c r="S46" i="106" s="1"/>
  <c r="R47" i="106"/>
  <c r="S47" i="106" s="1"/>
  <c r="R48" i="106"/>
  <c r="S48" i="106" s="1"/>
  <c r="R49" i="106"/>
  <c r="S49" i="106" s="1"/>
  <c r="R50" i="106"/>
  <c r="S50" i="106" s="1"/>
  <c r="R51" i="106"/>
  <c r="S51" i="106" s="1"/>
  <c r="R52" i="106"/>
  <c r="S52" i="106" s="1"/>
  <c r="R53" i="106"/>
  <c r="S53" i="106" s="1"/>
  <c r="R54" i="106"/>
  <c r="S54" i="106" s="1"/>
  <c r="R55" i="106"/>
  <c r="S55" i="106" s="1"/>
  <c r="R57" i="106"/>
  <c r="S57" i="106" s="1"/>
  <c r="R58" i="106"/>
  <c r="S58" i="106" s="1"/>
  <c r="R59" i="106"/>
  <c r="S59" i="106" s="1"/>
  <c r="R61" i="106"/>
  <c r="S61" i="106" s="1"/>
  <c r="R6" i="106"/>
  <c r="S6" i="106" s="1"/>
  <c r="C62" i="106"/>
  <c r="C60" i="106"/>
  <c r="C56" i="106"/>
  <c r="C33" i="106"/>
  <c r="Q60" i="106" l="1"/>
  <c r="R62" i="106"/>
  <c r="R60" i="106"/>
  <c r="R56" i="106"/>
  <c r="Q56" i="106"/>
  <c r="O63" i="106"/>
  <c r="G63" i="106"/>
  <c r="N63" i="106"/>
  <c r="R33" i="106"/>
  <c r="L63" i="106"/>
  <c r="Q33" i="106"/>
  <c r="K63" i="106"/>
  <c r="C63" i="106"/>
  <c r="T59" i="105"/>
  <c r="N57" i="107"/>
  <c r="L52" i="103"/>
  <c r="T50" i="105"/>
  <c r="T42" i="105"/>
  <c r="T35" i="105"/>
  <c r="N32" i="107"/>
  <c r="T28" i="105"/>
  <c r="T27" i="105"/>
  <c r="T18" i="105"/>
  <c r="Q63" i="106" l="1"/>
  <c r="R63" i="106"/>
  <c r="W6" i="105"/>
  <c r="E7" i="15"/>
  <c r="E9" i="15"/>
  <c r="Z9" i="105"/>
  <c r="E11" i="15"/>
  <c r="E13" i="15"/>
  <c r="Z13" i="105"/>
  <c r="E14" i="15"/>
  <c r="E15" i="15"/>
  <c r="Z15" i="105"/>
  <c r="E16" i="15"/>
  <c r="E17" i="15"/>
  <c r="E18" i="15"/>
  <c r="E19" i="15"/>
  <c r="E20" i="15"/>
  <c r="E21" i="15"/>
  <c r="Z21" i="105"/>
  <c r="E22" i="15"/>
  <c r="E23" i="15"/>
  <c r="E25" i="15"/>
  <c r="Z25" i="105"/>
  <c r="E26" i="15"/>
  <c r="E27" i="15"/>
  <c r="E28" i="15"/>
  <c r="E29" i="15"/>
  <c r="E30" i="15"/>
  <c r="E31" i="15"/>
  <c r="E32" i="15"/>
  <c r="E34" i="15"/>
  <c r="E35" i="15"/>
  <c r="E36" i="15"/>
  <c r="Z36" i="105"/>
  <c r="E37" i="15"/>
  <c r="E38" i="15"/>
  <c r="E39" i="15"/>
  <c r="E40" i="15"/>
  <c r="Z40" i="105"/>
  <c r="E41" i="15"/>
  <c r="Z41" i="105"/>
  <c r="E42" i="15"/>
  <c r="E43" i="15"/>
  <c r="E45" i="15"/>
  <c r="E46" i="15"/>
  <c r="E47" i="15"/>
  <c r="E48" i="15"/>
  <c r="Z48" i="105"/>
  <c r="E49" i="15"/>
  <c r="E50" i="15"/>
  <c r="E51" i="15"/>
  <c r="E52" i="15"/>
  <c r="E53" i="15"/>
  <c r="E54" i="15"/>
  <c r="E55" i="15"/>
  <c r="E57" i="15"/>
  <c r="E58" i="15"/>
  <c r="E59" i="15"/>
  <c r="V6" i="105"/>
  <c r="U6" i="105"/>
  <c r="E24" i="15"/>
  <c r="D62" i="105"/>
  <c r="E62" i="105"/>
  <c r="F62" i="105"/>
  <c r="G62" i="105"/>
  <c r="H62" i="105"/>
  <c r="I62" i="105"/>
  <c r="J62" i="105"/>
  <c r="M62" i="105"/>
  <c r="N62" i="105"/>
  <c r="O62" i="105"/>
  <c r="P62" i="105"/>
  <c r="Q62" i="105"/>
  <c r="R62" i="105"/>
  <c r="S62" i="105"/>
  <c r="T62" i="105"/>
  <c r="C62" i="105"/>
  <c r="D60" i="105"/>
  <c r="E60" i="105"/>
  <c r="F60" i="105"/>
  <c r="G60" i="105"/>
  <c r="H60" i="105"/>
  <c r="I60" i="105"/>
  <c r="J60" i="105"/>
  <c r="M60" i="105"/>
  <c r="N60" i="105"/>
  <c r="O60" i="105"/>
  <c r="P60" i="105"/>
  <c r="Q60" i="105"/>
  <c r="R60" i="105"/>
  <c r="S60" i="105"/>
  <c r="T60" i="105"/>
  <c r="C60" i="105"/>
  <c r="D56" i="105"/>
  <c r="E56" i="105"/>
  <c r="F56" i="105"/>
  <c r="G56" i="105"/>
  <c r="H56" i="105"/>
  <c r="I56" i="105"/>
  <c r="J56" i="105"/>
  <c r="M56" i="105"/>
  <c r="N56" i="105"/>
  <c r="O56" i="105"/>
  <c r="P56" i="105"/>
  <c r="Q56" i="105"/>
  <c r="R56" i="105"/>
  <c r="S56" i="105"/>
  <c r="T56" i="105"/>
  <c r="C56" i="105"/>
  <c r="D33" i="105"/>
  <c r="D63" i="105" s="1"/>
  <c r="E33" i="105"/>
  <c r="E63" i="105" s="1"/>
  <c r="F33" i="105"/>
  <c r="F63" i="105" s="1"/>
  <c r="G63" i="105"/>
  <c r="H63" i="105"/>
  <c r="I63" i="105"/>
  <c r="J63" i="105"/>
  <c r="O63" i="105"/>
  <c r="P63" i="105"/>
  <c r="Q63" i="105"/>
  <c r="R63" i="105"/>
  <c r="S63" i="105"/>
  <c r="C33" i="105"/>
  <c r="C63" i="105" s="1"/>
  <c r="Q7" i="107"/>
  <c r="Q9" i="107"/>
  <c r="Q11" i="107"/>
  <c r="Q13" i="107"/>
  <c r="Q14" i="107"/>
  <c r="Q15" i="107"/>
  <c r="Q16" i="107"/>
  <c r="Q17" i="107"/>
  <c r="Q18" i="107"/>
  <c r="Q19" i="107"/>
  <c r="Q21" i="107"/>
  <c r="Q22" i="107"/>
  <c r="Q25" i="107"/>
  <c r="Q26" i="107"/>
  <c r="Q27" i="107"/>
  <c r="Q28" i="107"/>
  <c r="Q29" i="107"/>
  <c r="Q30" i="107"/>
  <c r="Q31" i="107"/>
  <c r="Q34" i="107"/>
  <c r="Q35" i="107"/>
  <c r="Q36" i="107"/>
  <c r="Q37" i="107"/>
  <c r="Q38" i="107"/>
  <c r="Q39" i="107"/>
  <c r="Q40" i="107"/>
  <c r="Q41" i="107"/>
  <c r="Q42" i="107"/>
  <c r="Q43" i="107"/>
  <c r="Q45" i="107"/>
  <c r="Q46" i="107"/>
  <c r="Q47" i="107"/>
  <c r="Q48" i="107"/>
  <c r="Q49" i="107"/>
  <c r="Q50" i="107"/>
  <c r="Q51" i="107"/>
  <c r="Q53" i="107"/>
  <c r="Q54" i="107"/>
  <c r="Q57" i="107"/>
  <c r="Q58" i="107"/>
  <c r="Q61" i="107"/>
  <c r="Q6" i="107"/>
  <c r="Q32" i="107"/>
  <c r="Q59" i="107"/>
  <c r="P6" i="107"/>
  <c r="O6" i="107"/>
  <c r="C62" i="107"/>
  <c r="C60" i="107"/>
  <c r="C56" i="107"/>
  <c r="C33" i="107"/>
  <c r="T57" i="103"/>
  <c r="T58" i="103"/>
  <c r="T59" i="103"/>
  <c r="T60" i="103"/>
  <c r="T61" i="103"/>
  <c r="T34" i="103"/>
  <c r="T35" i="103"/>
  <c r="T36" i="103"/>
  <c r="T37" i="103"/>
  <c r="T38" i="103"/>
  <c r="T39" i="103"/>
  <c r="T40" i="103"/>
  <c r="T41" i="103"/>
  <c r="T42" i="103"/>
  <c r="T43" i="103"/>
  <c r="T45" i="103"/>
  <c r="T47" i="103"/>
  <c r="T48" i="103"/>
  <c r="T49" i="103"/>
  <c r="T50" i="103"/>
  <c r="T51" i="103"/>
  <c r="T53" i="103"/>
  <c r="T54" i="103"/>
  <c r="T7" i="103"/>
  <c r="T8" i="103"/>
  <c r="T9" i="103"/>
  <c r="T10" i="103"/>
  <c r="T11" i="103"/>
  <c r="T12" i="103"/>
  <c r="T13" i="103"/>
  <c r="T14" i="103"/>
  <c r="T15" i="103"/>
  <c r="T16" i="103"/>
  <c r="T17" i="103"/>
  <c r="T18" i="103"/>
  <c r="T19" i="103"/>
  <c r="T21" i="103"/>
  <c r="T22" i="103"/>
  <c r="T23" i="103"/>
  <c r="T25" i="103"/>
  <c r="T26" i="103"/>
  <c r="T27" i="103"/>
  <c r="T28" i="103"/>
  <c r="T29" i="103"/>
  <c r="T30" i="103"/>
  <c r="T31" i="103"/>
  <c r="T32" i="103"/>
  <c r="T6" i="103"/>
  <c r="T20" i="103"/>
  <c r="T44" i="103"/>
  <c r="T46" i="103"/>
  <c r="T55" i="103"/>
  <c r="N6" i="103"/>
  <c r="M6" i="103"/>
  <c r="D62" i="103"/>
  <c r="E62" i="103"/>
  <c r="F62" i="103"/>
  <c r="G62" i="103"/>
  <c r="H62" i="103"/>
  <c r="I62" i="103"/>
  <c r="J62" i="103"/>
  <c r="K62" i="103"/>
  <c r="L62" i="103"/>
  <c r="C62" i="103"/>
  <c r="D60" i="103"/>
  <c r="E60" i="103"/>
  <c r="F60" i="103"/>
  <c r="G60" i="103"/>
  <c r="H60" i="103"/>
  <c r="I60" i="103"/>
  <c r="J60" i="103"/>
  <c r="K60" i="103"/>
  <c r="L60" i="103"/>
  <c r="C60" i="103"/>
  <c r="D56" i="103"/>
  <c r="E56" i="103"/>
  <c r="F56" i="103"/>
  <c r="G56" i="103"/>
  <c r="H56" i="103"/>
  <c r="I56" i="103"/>
  <c r="J56" i="103"/>
  <c r="K56" i="103"/>
  <c r="L56" i="103"/>
  <c r="C56" i="103"/>
  <c r="C33" i="103"/>
  <c r="Z44" i="105" l="1"/>
  <c r="Z7" i="105"/>
  <c r="E60" i="15"/>
  <c r="Z29" i="105"/>
  <c r="Z14" i="105"/>
  <c r="Z16" i="105"/>
  <c r="Z57" i="105"/>
  <c r="Z54" i="105"/>
  <c r="Z27" i="105"/>
  <c r="Z11" i="105"/>
  <c r="Z30" i="105"/>
  <c r="Z23" i="105"/>
  <c r="Z8" i="105"/>
  <c r="Z38" i="105"/>
  <c r="Z34" i="105"/>
  <c r="Z31" i="105"/>
  <c r="E10" i="15"/>
  <c r="E8" i="15"/>
  <c r="Z58" i="105"/>
  <c r="Z51" i="105"/>
  <c r="Z47" i="105"/>
  <c r="Z43" i="105"/>
  <c r="Z39" i="105"/>
  <c r="Z35" i="105"/>
  <c r="Q8" i="107"/>
  <c r="Q10" i="107"/>
  <c r="Q12" i="107"/>
  <c r="Z12" i="105"/>
  <c r="E12" i="15"/>
  <c r="N63" i="105"/>
  <c r="P33" i="111"/>
  <c r="M63" i="105"/>
  <c r="O33" i="111"/>
  <c r="Z45" i="105"/>
  <c r="Q55" i="107"/>
  <c r="Z55" i="105"/>
  <c r="Z61" i="105"/>
  <c r="Z17" i="105"/>
  <c r="Z53" i="105"/>
  <c r="Z37" i="105"/>
  <c r="Z28" i="105"/>
  <c r="Z49" i="105"/>
  <c r="Z24" i="105"/>
  <c r="T24" i="103"/>
  <c r="Q24" i="107"/>
  <c r="Z59" i="105"/>
  <c r="Q52" i="107"/>
  <c r="Z52" i="105"/>
  <c r="T52" i="103"/>
  <c r="Z50" i="105"/>
  <c r="Z46" i="105"/>
  <c r="Z42" i="105"/>
  <c r="T63" i="105"/>
  <c r="Z32" i="105"/>
  <c r="Z26" i="105"/>
  <c r="Q23" i="107"/>
  <c r="Z22" i="105"/>
  <c r="Z19" i="105"/>
  <c r="Z18" i="105"/>
  <c r="Z10" i="105"/>
  <c r="Z6" i="105"/>
  <c r="T56" i="103"/>
  <c r="K63" i="103"/>
  <c r="G63" i="103"/>
  <c r="T33" i="103"/>
  <c r="L63" i="103"/>
  <c r="H63" i="103"/>
  <c r="D63" i="103"/>
  <c r="J63" i="103"/>
  <c r="F63" i="103"/>
  <c r="C63" i="103"/>
  <c r="I63" i="103"/>
  <c r="E63" i="103"/>
  <c r="M63" i="103" s="1"/>
  <c r="R7" i="104"/>
  <c r="R8" i="104"/>
  <c r="R9" i="104"/>
  <c r="R10" i="104"/>
  <c r="R11" i="104"/>
  <c r="R12" i="104"/>
  <c r="R13" i="104"/>
  <c r="R14" i="104"/>
  <c r="R15" i="104"/>
  <c r="R16" i="104"/>
  <c r="R17" i="104"/>
  <c r="R18" i="104"/>
  <c r="R19" i="104"/>
  <c r="R20" i="104"/>
  <c r="R21" i="104"/>
  <c r="R22" i="104"/>
  <c r="R23" i="104"/>
  <c r="R24" i="104"/>
  <c r="R25" i="104"/>
  <c r="R26" i="104"/>
  <c r="R27" i="104"/>
  <c r="R28" i="104"/>
  <c r="R29" i="104"/>
  <c r="R30" i="104"/>
  <c r="R31" i="104"/>
  <c r="R32" i="104"/>
  <c r="R33" i="104"/>
  <c r="R34" i="104"/>
  <c r="R35" i="104"/>
  <c r="R36" i="104"/>
  <c r="R37" i="104"/>
  <c r="R38" i="104"/>
  <c r="R39" i="104"/>
  <c r="R40" i="104"/>
  <c r="R41" i="104"/>
  <c r="R42" i="104"/>
  <c r="R43" i="104"/>
  <c r="R44" i="104"/>
  <c r="R45" i="104"/>
  <c r="R46" i="104"/>
  <c r="R47" i="104"/>
  <c r="R48" i="104"/>
  <c r="R49" i="104"/>
  <c r="R50" i="104"/>
  <c r="R51" i="104"/>
  <c r="R52" i="104"/>
  <c r="R53" i="104"/>
  <c r="R54" i="104"/>
  <c r="R55" i="104"/>
  <c r="R56" i="104"/>
  <c r="R57" i="104"/>
  <c r="R58" i="104"/>
  <c r="R59" i="104"/>
  <c r="R60" i="104"/>
  <c r="R6" i="104"/>
  <c r="N63" i="103" l="1"/>
  <c r="Q44" i="107"/>
  <c r="P63" i="111"/>
  <c r="O63" i="111"/>
  <c r="E33" i="15"/>
  <c r="Z20" i="105"/>
  <c r="Q20" i="107"/>
  <c r="C12" i="104"/>
  <c r="S12" i="104" s="1"/>
  <c r="U7" i="104"/>
  <c r="U8" i="104"/>
  <c r="U9" i="104"/>
  <c r="U10" i="104"/>
  <c r="U11" i="104"/>
  <c r="U12" i="104"/>
  <c r="U13" i="104"/>
  <c r="U14" i="104"/>
  <c r="U15" i="104"/>
  <c r="U16" i="104"/>
  <c r="U17" i="104"/>
  <c r="U18" i="104"/>
  <c r="U19" i="104"/>
  <c r="U20" i="104"/>
  <c r="U21" i="104"/>
  <c r="U22" i="104"/>
  <c r="U23" i="104"/>
  <c r="U24" i="104"/>
  <c r="U25" i="104"/>
  <c r="U26" i="104"/>
  <c r="U27" i="104"/>
  <c r="U28" i="104"/>
  <c r="U29" i="104"/>
  <c r="U30" i="104"/>
  <c r="U31" i="104"/>
  <c r="U32" i="104"/>
  <c r="U34" i="104"/>
  <c r="U35" i="104"/>
  <c r="U36" i="104"/>
  <c r="U37" i="104"/>
  <c r="U38" i="104"/>
  <c r="U39" i="104"/>
  <c r="U40" i="104"/>
  <c r="U41" i="104"/>
  <c r="U42" i="104"/>
  <c r="U43" i="104"/>
  <c r="U44" i="104"/>
  <c r="U45" i="104"/>
  <c r="U46" i="104"/>
  <c r="U47" i="104"/>
  <c r="U48" i="104"/>
  <c r="U49" i="104"/>
  <c r="U50" i="104"/>
  <c r="U51" i="104"/>
  <c r="U52" i="104"/>
  <c r="U53" i="104"/>
  <c r="U54" i="104"/>
  <c r="U55" i="104"/>
  <c r="U57" i="104"/>
  <c r="U58" i="104"/>
  <c r="U59" i="104"/>
  <c r="U61" i="104"/>
  <c r="U6" i="104"/>
  <c r="S7" i="104"/>
  <c r="S8" i="104"/>
  <c r="S9" i="104"/>
  <c r="S10" i="104"/>
  <c r="S11" i="104"/>
  <c r="S13" i="104"/>
  <c r="S14" i="104"/>
  <c r="S15" i="104"/>
  <c r="S16" i="104"/>
  <c r="S17" i="104"/>
  <c r="S18" i="104"/>
  <c r="S19" i="104"/>
  <c r="S20" i="104"/>
  <c r="S21" i="104"/>
  <c r="S22" i="104"/>
  <c r="S23" i="104"/>
  <c r="S24" i="104"/>
  <c r="S25" i="104"/>
  <c r="S26" i="104"/>
  <c r="S27" i="104"/>
  <c r="S28" i="104"/>
  <c r="S29" i="104"/>
  <c r="S30" i="104"/>
  <c r="S31" i="104"/>
  <c r="S32" i="104"/>
  <c r="S34" i="104"/>
  <c r="S35" i="104"/>
  <c r="S36" i="104"/>
  <c r="S37" i="104"/>
  <c r="S38" i="104"/>
  <c r="S39" i="104"/>
  <c r="S40" i="104"/>
  <c r="S41" i="104"/>
  <c r="S42" i="104"/>
  <c r="S43" i="104"/>
  <c r="S44" i="104"/>
  <c r="S45" i="104"/>
  <c r="S46" i="104"/>
  <c r="S47" i="104"/>
  <c r="S48" i="104"/>
  <c r="S49" i="104"/>
  <c r="S50" i="104"/>
  <c r="S51" i="104"/>
  <c r="S52" i="104"/>
  <c r="S53" i="104"/>
  <c r="S54" i="104"/>
  <c r="S55" i="104"/>
  <c r="S57" i="104"/>
  <c r="S58" i="104"/>
  <c r="S59" i="104"/>
  <c r="S61" i="104"/>
  <c r="S6" i="104"/>
  <c r="M6" i="9"/>
  <c r="N6" i="9" s="1"/>
  <c r="K7" i="9"/>
  <c r="L7" i="9" s="1"/>
  <c r="K8" i="9"/>
  <c r="L8" i="9" s="1"/>
  <c r="K9" i="9"/>
  <c r="L9" i="9" s="1"/>
  <c r="K10" i="9"/>
  <c r="L10" i="9" s="1"/>
  <c r="K11" i="9"/>
  <c r="L11" i="9" s="1"/>
  <c r="K12" i="9"/>
  <c r="L12" i="9" s="1"/>
  <c r="K13" i="9"/>
  <c r="L13" i="9" s="1"/>
  <c r="K14" i="9"/>
  <c r="L14" i="9" s="1"/>
  <c r="K15" i="9"/>
  <c r="L15" i="9" s="1"/>
  <c r="K16" i="9"/>
  <c r="L16" i="9" s="1"/>
  <c r="K17" i="9"/>
  <c r="L17" i="9" s="1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 s="1"/>
  <c r="K25" i="9"/>
  <c r="L25" i="9" s="1"/>
  <c r="K26" i="9"/>
  <c r="L26" i="9" s="1"/>
  <c r="K27" i="9"/>
  <c r="L27" i="9" s="1"/>
  <c r="K28" i="9"/>
  <c r="L28" i="9" s="1"/>
  <c r="K29" i="9"/>
  <c r="L29" i="9" s="1"/>
  <c r="K30" i="9"/>
  <c r="L30" i="9" s="1"/>
  <c r="K31" i="9"/>
  <c r="L31" i="9" s="1"/>
  <c r="K32" i="9"/>
  <c r="L32" i="9" s="1"/>
  <c r="K34" i="9"/>
  <c r="L34" i="9" s="1"/>
  <c r="K35" i="9"/>
  <c r="L35" i="9" s="1"/>
  <c r="K36" i="9"/>
  <c r="L36" i="9" s="1"/>
  <c r="K37" i="9"/>
  <c r="L37" i="9" s="1"/>
  <c r="K38" i="9"/>
  <c r="L38" i="9" s="1"/>
  <c r="K39" i="9"/>
  <c r="L39" i="9" s="1"/>
  <c r="K40" i="9"/>
  <c r="L40" i="9" s="1"/>
  <c r="K41" i="9"/>
  <c r="L41" i="9" s="1"/>
  <c r="K42" i="9"/>
  <c r="L42" i="9" s="1"/>
  <c r="K43" i="9"/>
  <c r="L43" i="9" s="1"/>
  <c r="K44" i="9"/>
  <c r="L44" i="9" s="1"/>
  <c r="K45" i="9"/>
  <c r="L45" i="9" s="1"/>
  <c r="K46" i="9"/>
  <c r="L46" i="9" s="1"/>
  <c r="K47" i="9"/>
  <c r="L47" i="9" s="1"/>
  <c r="K48" i="9"/>
  <c r="L48" i="9" s="1"/>
  <c r="K49" i="9"/>
  <c r="L49" i="9" s="1"/>
  <c r="K50" i="9"/>
  <c r="L50" i="9" s="1"/>
  <c r="K51" i="9"/>
  <c r="L51" i="9" s="1"/>
  <c r="K52" i="9"/>
  <c r="L52" i="9" s="1"/>
  <c r="K53" i="9"/>
  <c r="L53" i="9" s="1"/>
  <c r="K54" i="9"/>
  <c r="L54" i="9" s="1"/>
  <c r="K55" i="9"/>
  <c r="L55" i="9" s="1"/>
  <c r="K57" i="9"/>
  <c r="L57" i="9" s="1"/>
  <c r="K58" i="9"/>
  <c r="L58" i="9" s="1"/>
  <c r="K59" i="9"/>
  <c r="L59" i="9" s="1"/>
  <c r="K60" i="9"/>
  <c r="K61" i="9"/>
  <c r="L61" i="9" s="1"/>
  <c r="K6" i="9"/>
  <c r="L6" i="9" s="1"/>
  <c r="R61" i="104" l="1"/>
  <c r="M61" i="104"/>
  <c r="Q61" i="104"/>
  <c r="C62" i="104"/>
  <c r="C60" i="104"/>
  <c r="C56" i="104"/>
  <c r="H69" i="104"/>
  <c r="E44" i="15"/>
  <c r="L6" i="104"/>
  <c r="K6" i="104"/>
  <c r="L63" i="104" l="1"/>
  <c r="E62" i="15"/>
  <c r="E61" i="15"/>
  <c r="C63" i="104"/>
  <c r="K63" i="104" s="1"/>
  <c r="O63" i="107" s="1"/>
  <c r="R62" i="104"/>
  <c r="M59" i="104"/>
  <c r="Q59" i="104"/>
  <c r="M54" i="104"/>
  <c r="Q54" i="104"/>
  <c r="M50" i="104"/>
  <c r="Q50" i="104"/>
  <c r="M48" i="104"/>
  <c r="Q48" i="104"/>
  <c r="M44" i="104"/>
  <c r="Q44" i="104"/>
  <c r="M42" i="104"/>
  <c r="Q42" i="104"/>
  <c r="M38" i="104"/>
  <c r="Q38" i="104"/>
  <c r="M36" i="104"/>
  <c r="Q36" i="104"/>
  <c r="M26" i="104"/>
  <c r="Q26" i="104"/>
  <c r="M22" i="104"/>
  <c r="Q22" i="104"/>
  <c r="M30" i="104"/>
  <c r="Q30" i="104"/>
  <c r="M28" i="104"/>
  <c r="Q28" i="104"/>
  <c r="M18" i="104"/>
  <c r="Q18" i="104"/>
  <c r="M14" i="104"/>
  <c r="Q14" i="104"/>
  <c r="M9" i="104"/>
  <c r="Q9" i="104"/>
  <c r="M7" i="104"/>
  <c r="Q7" i="104"/>
  <c r="M6" i="104"/>
  <c r="Q6" i="104"/>
  <c r="M57" i="104"/>
  <c r="Q57" i="104"/>
  <c r="M52" i="104"/>
  <c r="Q52" i="104"/>
  <c r="M46" i="104"/>
  <c r="Q46" i="104"/>
  <c r="M40" i="104"/>
  <c r="Q40" i="104"/>
  <c r="M34" i="104"/>
  <c r="Q34" i="104"/>
  <c r="M24" i="104"/>
  <c r="Q24" i="104"/>
  <c r="M32" i="104"/>
  <c r="Q32" i="104"/>
  <c r="M20" i="104"/>
  <c r="Q20" i="104"/>
  <c r="M16" i="104"/>
  <c r="Q16" i="104"/>
  <c r="M12" i="104"/>
  <c r="Q12" i="104"/>
  <c r="Q62" i="104"/>
  <c r="M58" i="104"/>
  <c r="Q58" i="104"/>
  <c r="M55" i="104"/>
  <c r="Q55" i="104"/>
  <c r="M53" i="104"/>
  <c r="Q53" i="104"/>
  <c r="M51" i="104"/>
  <c r="Q51" i="104"/>
  <c r="M49" i="104"/>
  <c r="Q49" i="104"/>
  <c r="M47" i="104"/>
  <c r="Q47" i="104"/>
  <c r="M45" i="104"/>
  <c r="Q45" i="104"/>
  <c r="M43" i="104"/>
  <c r="Q43" i="104"/>
  <c r="M41" i="104"/>
  <c r="Q41" i="104"/>
  <c r="M39" i="104"/>
  <c r="Q39" i="104"/>
  <c r="M37" i="104"/>
  <c r="Q37" i="104"/>
  <c r="M35" i="104"/>
  <c r="Q35" i="104"/>
  <c r="M27" i="104"/>
  <c r="Q27" i="104"/>
  <c r="M25" i="104"/>
  <c r="Q25" i="104"/>
  <c r="M23" i="104"/>
  <c r="Q23" i="104"/>
  <c r="M11" i="104"/>
  <c r="Q11" i="104"/>
  <c r="M31" i="104"/>
  <c r="Q31" i="104"/>
  <c r="M29" i="104"/>
  <c r="Q29" i="104"/>
  <c r="M21" i="104"/>
  <c r="Q21" i="104"/>
  <c r="M19" i="104"/>
  <c r="Q19" i="104"/>
  <c r="M17" i="104"/>
  <c r="Q17" i="104"/>
  <c r="M15" i="104"/>
  <c r="Q15" i="104"/>
  <c r="M13" i="104"/>
  <c r="Q13" i="104"/>
  <c r="M10" i="104"/>
  <c r="Q10" i="104"/>
  <c r="M8" i="104"/>
  <c r="Q8" i="104"/>
  <c r="S33" i="104"/>
  <c r="U33" i="104"/>
  <c r="U56" i="104"/>
  <c r="U60" i="104"/>
  <c r="U62" i="104"/>
  <c r="S56" i="104"/>
  <c r="S60" i="104"/>
  <c r="S62" i="104"/>
  <c r="G69" i="104"/>
  <c r="J69" i="104"/>
  <c r="I69" i="104"/>
  <c r="E69" i="104"/>
  <c r="D69" i="104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7" i="9"/>
  <c r="G58" i="9"/>
  <c r="G59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7" i="9"/>
  <c r="H58" i="9"/>
  <c r="H59" i="9"/>
  <c r="H61" i="9"/>
  <c r="H6" i="9"/>
  <c r="G6" i="9"/>
  <c r="R63" i="104" l="1"/>
  <c r="P63" i="107"/>
  <c r="W63" i="105" s="1"/>
  <c r="X63" i="105" s="1"/>
  <c r="F73" i="104"/>
  <c r="E56" i="15"/>
  <c r="E63" i="15"/>
  <c r="Q60" i="104"/>
  <c r="Q33" i="104"/>
  <c r="F69" i="104"/>
  <c r="U63" i="104"/>
  <c r="C69" i="104"/>
  <c r="S63" i="104"/>
  <c r="Q63" i="104"/>
  <c r="D62" i="9"/>
  <c r="F62" i="9"/>
  <c r="D60" i="9"/>
  <c r="E60" i="9"/>
  <c r="F60" i="9"/>
  <c r="D56" i="9"/>
  <c r="E56" i="9"/>
  <c r="F56" i="9"/>
  <c r="S33" i="106"/>
  <c r="E56" i="7"/>
  <c r="E33" i="7"/>
  <c r="D62" i="7"/>
  <c r="E62" i="7"/>
  <c r="F62" i="7"/>
  <c r="G62" i="7"/>
  <c r="H62" i="7"/>
  <c r="C62" i="7"/>
  <c r="K62" i="9" s="1"/>
  <c r="D60" i="7"/>
  <c r="E60" i="7"/>
  <c r="F60" i="7"/>
  <c r="G60" i="7"/>
  <c r="H60" i="7"/>
  <c r="C60" i="7"/>
  <c r="D56" i="7"/>
  <c r="F56" i="7"/>
  <c r="G56" i="7"/>
  <c r="H56" i="7"/>
  <c r="C56" i="7"/>
  <c r="D33" i="7"/>
  <c r="K33" i="9" s="1"/>
  <c r="F33" i="7"/>
  <c r="G33" i="7"/>
  <c r="G63" i="7" s="1"/>
  <c r="G67" i="7" s="1"/>
  <c r="H33" i="7"/>
  <c r="C33" i="7"/>
  <c r="J56" i="9" l="1"/>
  <c r="N62" i="9"/>
  <c r="Y62" i="105"/>
  <c r="Z62" i="105" s="1"/>
  <c r="F62" i="15"/>
  <c r="G62" i="15" s="1"/>
  <c r="S56" i="106"/>
  <c r="N56" i="9"/>
  <c r="Y56" i="105"/>
  <c r="Z56" i="105" s="1"/>
  <c r="F56" i="15"/>
  <c r="G56" i="15" s="1"/>
  <c r="L60" i="9"/>
  <c r="S60" i="106"/>
  <c r="N60" i="9"/>
  <c r="Y60" i="105"/>
  <c r="F60" i="15"/>
  <c r="G60" i="15" s="1"/>
  <c r="J60" i="9"/>
  <c r="K69" i="104"/>
  <c r="K56" i="9"/>
  <c r="S62" i="106"/>
  <c r="Z60" i="105"/>
  <c r="Q60" i="107"/>
  <c r="M60" i="104"/>
  <c r="Q56" i="107"/>
  <c r="Q33" i="107"/>
  <c r="Z33" i="105"/>
  <c r="M33" i="104"/>
  <c r="L62" i="9"/>
  <c r="Q62" i="107"/>
  <c r="M62" i="104"/>
  <c r="L56" i="9"/>
  <c r="M56" i="104"/>
  <c r="L69" i="104"/>
  <c r="L33" i="9"/>
  <c r="G33" i="9"/>
  <c r="H33" i="9"/>
  <c r="H62" i="9"/>
  <c r="H60" i="9"/>
  <c r="H56" i="9"/>
  <c r="D63" i="9"/>
  <c r="F63" i="9"/>
  <c r="F63" i="7"/>
  <c r="F67" i="7" s="1"/>
  <c r="C63" i="7"/>
  <c r="C67" i="7" s="1"/>
  <c r="H63" i="7"/>
  <c r="H67" i="7" s="1"/>
  <c r="D63" i="7"/>
  <c r="D67" i="7" s="1"/>
  <c r="E63" i="7"/>
  <c r="E67" i="7" s="1"/>
  <c r="F63" i="15" l="1"/>
  <c r="G63" i="15" s="1"/>
  <c r="Y63" i="105"/>
  <c r="Z63" i="105" s="1"/>
  <c r="N63" i="9"/>
  <c r="S63" i="106"/>
  <c r="M63" i="104"/>
  <c r="Q63" i="107"/>
  <c r="K63" i="9"/>
  <c r="L63" i="9" s="1"/>
  <c r="H63" i="9"/>
  <c r="F60" i="3"/>
  <c r="G60" i="3"/>
  <c r="G58" i="3"/>
  <c r="G54" i="3"/>
  <c r="G3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5" i="3"/>
  <c r="F58" i="3" s="1"/>
  <c r="F56" i="3"/>
  <c r="F57" i="3"/>
  <c r="F59" i="3"/>
  <c r="F4" i="3"/>
  <c r="G61" i="3" l="1"/>
  <c r="F54" i="3"/>
  <c r="F31" i="3"/>
  <c r="D60" i="3"/>
  <c r="E60" i="3"/>
  <c r="C60" i="3"/>
  <c r="D58" i="3"/>
  <c r="E58" i="3"/>
  <c r="C58" i="3"/>
  <c r="D54" i="3"/>
  <c r="E54" i="3"/>
  <c r="C54" i="3"/>
  <c r="D31" i="3"/>
  <c r="E31" i="3"/>
  <c r="C31" i="3"/>
  <c r="F61" i="3" l="1"/>
  <c r="E61" i="3"/>
  <c r="C61" i="3"/>
  <c r="D61" i="3"/>
  <c r="F72" i="121"/>
  <c r="E72" i="121"/>
  <c r="O6" i="85"/>
  <c r="O7" i="85"/>
  <c r="O8" i="85"/>
  <c r="O9" i="85"/>
  <c r="O10" i="85"/>
  <c r="O11" i="85"/>
  <c r="O12" i="85"/>
  <c r="O13" i="85"/>
  <c r="O14" i="85"/>
  <c r="O15" i="85"/>
  <c r="O16" i="85"/>
  <c r="O17" i="85"/>
  <c r="O18" i="85"/>
  <c r="O19" i="85"/>
  <c r="O20" i="85"/>
  <c r="O21" i="85"/>
  <c r="O22" i="85"/>
  <c r="O23" i="85"/>
  <c r="O24" i="85"/>
  <c r="O25" i="85"/>
  <c r="O27" i="85"/>
  <c r="O28" i="85"/>
  <c r="O29" i="85"/>
  <c r="O30" i="85"/>
  <c r="O31" i="85"/>
  <c r="O32" i="85"/>
  <c r="O34" i="85"/>
  <c r="O35" i="85"/>
  <c r="O36" i="85"/>
  <c r="O37" i="85"/>
  <c r="O38" i="85"/>
  <c r="O39" i="85"/>
  <c r="O40" i="85"/>
  <c r="O41" i="85"/>
  <c r="O42" i="85"/>
  <c r="O43" i="85"/>
  <c r="O44" i="85"/>
  <c r="O45" i="85"/>
  <c r="O46" i="85"/>
  <c r="O47" i="85"/>
  <c r="O48" i="85"/>
  <c r="O49" i="85"/>
  <c r="O50" i="85"/>
  <c r="O52" i="85"/>
  <c r="O53" i="85"/>
  <c r="O54" i="85"/>
  <c r="O56" i="85"/>
  <c r="O57" i="85"/>
  <c r="M7" i="85"/>
  <c r="M12" i="85"/>
  <c r="N12" i="85" s="1"/>
  <c r="M24" i="85"/>
  <c r="M30" i="85"/>
  <c r="M41" i="85"/>
  <c r="H20" i="15"/>
  <c r="I20" i="15" s="1"/>
  <c r="H25" i="15"/>
  <c r="I25" i="15" s="1"/>
  <c r="H38" i="15"/>
  <c r="I38" i="15" s="1"/>
  <c r="H55" i="15"/>
  <c r="I55" i="15" s="1"/>
  <c r="H54" i="15"/>
  <c r="I54" i="15" s="1"/>
  <c r="H53" i="15"/>
  <c r="I53" i="15" s="1"/>
  <c r="H50" i="15"/>
  <c r="I50" i="15" s="1"/>
  <c r="H48" i="15"/>
  <c r="I48" i="15" s="1"/>
  <c r="H43" i="15"/>
  <c r="I43" i="15" s="1"/>
  <c r="N41" i="85"/>
  <c r="H36" i="15"/>
  <c r="I36" i="15" s="1"/>
  <c r="H30" i="15"/>
  <c r="I30" i="15" s="1"/>
  <c r="H15" i="15"/>
  <c r="I15" i="15" s="1"/>
  <c r="H11" i="15"/>
  <c r="I11" i="15" s="1"/>
  <c r="H9" i="15"/>
  <c r="I9" i="15" s="1"/>
  <c r="H7" i="15"/>
  <c r="I7" i="15" s="1"/>
  <c r="M54" i="85"/>
  <c r="M53" i="85"/>
  <c r="M49" i="85"/>
  <c r="N49" i="85" s="1"/>
  <c r="M48" i="85"/>
  <c r="M47" i="85"/>
  <c r="M45" i="85"/>
  <c r="M43" i="85"/>
  <c r="M42" i="85"/>
  <c r="H42" i="15"/>
  <c r="I42" i="15" s="1"/>
  <c r="M40" i="85"/>
  <c r="M39" i="85"/>
  <c r="M37" i="85"/>
  <c r="M36" i="85"/>
  <c r="M35" i="85"/>
  <c r="M34" i="85"/>
  <c r="M32" i="85"/>
  <c r="M31" i="85"/>
  <c r="H31" i="15"/>
  <c r="I31" i="15" s="1"/>
  <c r="M29" i="85"/>
  <c r="M27" i="85"/>
  <c r="M22" i="85"/>
  <c r="M21" i="85"/>
  <c r="M20" i="85"/>
  <c r="M19" i="85"/>
  <c r="M18" i="85"/>
  <c r="M16" i="85"/>
  <c r="N16" i="85" s="1"/>
  <c r="M14" i="85"/>
  <c r="H13" i="15"/>
  <c r="I13" i="15" s="1"/>
  <c r="M11" i="85"/>
  <c r="M10" i="85"/>
  <c r="N10" i="85" s="1"/>
  <c r="M9" i="85"/>
  <c r="M8" i="85"/>
  <c r="H8" i="15"/>
  <c r="I8" i="15" s="1"/>
  <c r="M6" i="85"/>
  <c r="O55" i="85"/>
  <c r="K44" i="7"/>
  <c r="I45" i="7"/>
  <c r="J45" i="7"/>
  <c r="K45" i="7"/>
  <c r="Q55" i="93"/>
  <c r="Q48" i="93"/>
  <c r="Q47" i="93"/>
  <c r="Q45" i="93"/>
  <c r="Q40" i="93"/>
  <c r="Q39" i="93"/>
  <c r="Q32" i="93"/>
  <c r="Q28" i="93"/>
  <c r="Q26" i="93"/>
  <c r="Q25" i="93"/>
  <c r="Q23" i="93"/>
  <c r="Q22" i="93"/>
  <c r="Q21" i="93"/>
  <c r="Q18" i="93"/>
  <c r="Q17" i="93"/>
  <c r="Q14" i="93"/>
  <c r="Q13" i="93"/>
  <c r="Q12" i="93"/>
  <c r="Q11" i="93"/>
  <c r="Q10" i="93"/>
  <c r="Q9" i="93"/>
  <c r="Q7" i="93"/>
  <c r="P6" i="93"/>
  <c r="O6" i="93"/>
  <c r="I59" i="73"/>
  <c r="D59" i="73"/>
  <c r="C59" i="73"/>
  <c r="H58" i="73"/>
  <c r="D58" i="73"/>
  <c r="C58" i="73"/>
  <c r="L6" i="73"/>
  <c r="G6" i="73"/>
  <c r="K18" i="7"/>
  <c r="K26" i="7"/>
  <c r="I60" i="7"/>
  <c r="K60" i="7"/>
  <c r="I33" i="7"/>
  <c r="K53" i="7"/>
  <c r="K52" i="7"/>
  <c r="K7" i="7"/>
  <c r="K9" i="7"/>
  <c r="K10" i="7"/>
  <c r="K11" i="7"/>
  <c r="K12" i="7"/>
  <c r="K13" i="7"/>
  <c r="K14" i="7"/>
  <c r="K15" i="7"/>
  <c r="K16" i="7"/>
  <c r="K17" i="7"/>
  <c r="K19" i="7"/>
  <c r="K20" i="7"/>
  <c r="K21" i="7"/>
  <c r="K27" i="7"/>
  <c r="K28" i="7"/>
  <c r="K29" i="7"/>
  <c r="K30" i="7"/>
  <c r="K32" i="7"/>
  <c r="K34" i="7"/>
  <c r="K35" i="7"/>
  <c r="K36" i="7"/>
  <c r="K37" i="7"/>
  <c r="K38" i="7"/>
  <c r="K39" i="7"/>
  <c r="K40" i="7"/>
  <c r="K41" i="7"/>
  <c r="K42" i="7"/>
  <c r="K46" i="7"/>
  <c r="K57" i="7"/>
  <c r="K58" i="7"/>
  <c r="K59" i="7"/>
  <c r="K61" i="7"/>
  <c r="J7" i="7"/>
  <c r="J8" i="7"/>
  <c r="J9" i="7"/>
  <c r="J10" i="7"/>
  <c r="J12" i="7"/>
  <c r="J13" i="7"/>
  <c r="J14" i="7"/>
  <c r="J15" i="7"/>
  <c r="J16" i="7"/>
  <c r="J17" i="7"/>
  <c r="J18" i="7"/>
  <c r="J19" i="7"/>
  <c r="J20" i="7"/>
  <c r="J21" i="7"/>
  <c r="J27" i="7"/>
  <c r="J28" i="7"/>
  <c r="J29" i="7"/>
  <c r="J30" i="7"/>
  <c r="J32" i="7"/>
  <c r="J34" i="7"/>
  <c r="J35" i="7"/>
  <c r="J42" i="7"/>
  <c r="J43" i="7"/>
  <c r="J57" i="7"/>
  <c r="J58" i="7"/>
  <c r="J59" i="7"/>
  <c r="J61" i="7"/>
  <c r="I8" i="7"/>
  <c r="I9" i="7"/>
  <c r="I10" i="7"/>
  <c r="I12" i="7"/>
  <c r="I13" i="7"/>
  <c r="I14" i="7"/>
  <c r="I15" i="7"/>
  <c r="I16" i="7"/>
  <c r="I18" i="7"/>
  <c r="I19" i="7"/>
  <c r="I20" i="7"/>
  <c r="I21" i="7"/>
  <c r="I27" i="7"/>
  <c r="I28" i="7"/>
  <c r="I29" i="7"/>
  <c r="I30" i="7"/>
  <c r="I32" i="7"/>
  <c r="I34" i="7"/>
  <c r="I35" i="7"/>
  <c r="I42" i="7"/>
  <c r="I43" i="7"/>
  <c r="I57" i="7"/>
  <c r="I58" i="7"/>
  <c r="I59" i="7"/>
  <c r="I61" i="7"/>
  <c r="J6" i="7"/>
  <c r="K6" i="7"/>
  <c r="I6" i="7"/>
  <c r="K24" i="7"/>
  <c r="J33" i="7"/>
  <c r="C60" i="9"/>
  <c r="I60" i="9" s="1"/>
  <c r="P14" i="78"/>
  <c r="O14" i="78" s="1"/>
  <c r="P17" i="78"/>
  <c r="O17" i="78" s="1"/>
  <c r="C56" i="9"/>
  <c r="I56" i="9" s="1"/>
  <c r="J55" i="101"/>
  <c r="I55" i="101"/>
  <c r="H55" i="101"/>
  <c r="G55" i="101"/>
  <c r="F55" i="101"/>
  <c r="E55" i="101"/>
  <c r="D55" i="101"/>
  <c r="C55" i="101"/>
  <c r="J56" i="7"/>
  <c r="H22" i="15"/>
  <c r="I22" i="15" s="1"/>
  <c r="H32" i="15"/>
  <c r="I32" i="15" s="1"/>
  <c r="M26" i="85"/>
  <c r="H37" i="15"/>
  <c r="I37" i="15" s="1"/>
  <c r="H27" i="15"/>
  <c r="H6" i="15"/>
  <c r="I6" i="15" s="1"/>
  <c r="I62" i="7"/>
  <c r="K62" i="7"/>
  <c r="K51" i="7"/>
  <c r="K55" i="7"/>
  <c r="K48" i="7"/>
  <c r="K54" i="7"/>
  <c r="K31" i="7"/>
  <c r="K47" i="7"/>
  <c r="K25" i="7"/>
  <c r="P36" i="78"/>
  <c r="O36" i="78" s="1"/>
  <c r="K22" i="7"/>
  <c r="P10" i="85" l="1"/>
  <c r="Q6" i="93"/>
  <c r="R6" i="109"/>
  <c r="P33" i="93"/>
  <c r="P63" i="93" s="1"/>
  <c r="Q63" i="93" s="1"/>
  <c r="P12" i="85"/>
  <c r="O60" i="85"/>
  <c r="P16" i="85"/>
  <c r="N31" i="85"/>
  <c r="P31" i="85" s="1"/>
  <c r="N19" i="85"/>
  <c r="N40" i="85"/>
  <c r="P40" i="85" s="1"/>
  <c r="N6" i="85"/>
  <c r="P6" i="85" s="1"/>
  <c r="N45" i="85"/>
  <c r="P45" i="85" s="1"/>
  <c r="N14" i="85"/>
  <c r="P14" i="85" s="1"/>
  <c r="N24" i="85"/>
  <c r="P24" i="85" s="1"/>
  <c r="N36" i="85"/>
  <c r="P36" i="85" s="1"/>
  <c r="N27" i="85"/>
  <c r="P27" i="85" s="1"/>
  <c r="N32" i="85"/>
  <c r="P32" i="85" s="1"/>
  <c r="N8" i="85"/>
  <c r="P8" i="85" s="1"/>
  <c r="N11" i="85"/>
  <c r="P11" i="85" s="1"/>
  <c r="N29" i="85"/>
  <c r="P29" i="85" s="1"/>
  <c r="P19" i="85"/>
  <c r="P41" i="85"/>
  <c r="P49" i="85"/>
  <c r="Q41" i="93"/>
  <c r="Q43" i="93"/>
  <c r="Q31" i="93"/>
  <c r="Q34" i="93"/>
  <c r="Q29" i="93"/>
  <c r="Q33" i="93"/>
  <c r="G56" i="9"/>
  <c r="G60" i="9"/>
  <c r="P32" i="78"/>
  <c r="O32" i="78" s="1"/>
  <c r="C62" i="9"/>
  <c r="G61" i="9"/>
  <c r="P21" i="78"/>
  <c r="O21" i="78" s="1"/>
  <c r="P13" i="78"/>
  <c r="O13" i="78" s="1"/>
  <c r="P55" i="78"/>
  <c r="O55" i="78" s="1"/>
  <c r="P9" i="78"/>
  <c r="O9" i="78" s="1"/>
  <c r="P19" i="78"/>
  <c r="O19" i="78" s="1"/>
  <c r="P42" i="78"/>
  <c r="O42" i="78" s="1"/>
  <c r="P15" i="78"/>
  <c r="O15" i="78" s="1"/>
  <c r="P37" i="78"/>
  <c r="O37" i="78" s="1"/>
  <c r="E62" i="9"/>
  <c r="J62" i="9" s="1"/>
  <c r="P26" i="78"/>
  <c r="O26" i="78" s="1"/>
  <c r="P40" i="78"/>
  <c r="O40" i="78" s="1"/>
  <c r="P28" i="78"/>
  <c r="O28" i="78" s="1"/>
  <c r="P33" i="78"/>
  <c r="O33" i="78" s="1"/>
  <c r="P43" i="78"/>
  <c r="O43" i="78" s="1"/>
  <c r="P23" i="78"/>
  <c r="O23" i="78" s="1"/>
  <c r="P46" i="78"/>
  <c r="O46" i="78" s="1"/>
  <c r="P31" i="78"/>
  <c r="O31" i="78" s="1"/>
  <c r="P29" i="78"/>
  <c r="O29" i="78" s="1"/>
  <c r="P49" i="78"/>
  <c r="O49" i="78" s="1"/>
  <c r="P10" i="78"/>
  <c r="O10" i="78" s="1"/>
  <c r="P24" i="78"/>
  <c r="O24" i="78" s="1"/>
  <c r="P50" i="78"/>
  <c r="O50" i="78" s="1"/>
  <c r="P20" i="78"/>
  <c r="O20" i="78" s="1"/>
  <c r="P8" i="78"/>
  <c r="O8" i="78" s="1"/>
  <c r="P53" i="78"/>
  <c r="O53" i="78" s="1"/>
  <c r="P44" i="78"/>
  <c r="O44" i="78" s="1"/>
  <c r="P48" i="78"/>
  <c r="O48" i="78" s="1"/>
  <c r="P6" i="78"/>
  <c r="O6" i="78" s="1"/>
  <c r="P51" i="78"/>
  <c r="O51" i="78" s="1"/>
  <c r="P35" i="78"/>
  <c r="O35" i="78" s="1"/>
  <c r="P18" i="78"/>
  <c r="O18" i="78" s="1"/>
  <c r="P30" i="78"/>
  <c r="O30" i="78" s="1"/>
  <c r="P7" i="78"/>
  <c r="O7" i="78" s="1"/>
  <c r="P11" i="78"/>
  <c r="O11" i="78" s="1"/>
  <c r="P38" i="78"/>
  <c r="O38" i="78" s="1"/>
  <c r="P39" i="78"/>
  <c r="P57" i="78"/>
  <c r="O57" i="78" s="1"/>
  <c r="J63" i="7"/>
  <c r="P58" i="78"/>
  <c r="O58" i="78" s="1"/>
  <c r="P12" i="78"/>
  <c r="O12" i="78" s="1"/>
  <c r="P45" i="78"/>
  <c r="O45" i="78" s="1"/>
  <c r="O26" i="85"/>
  <c r="O33" i="85" s="1"/>
  <c r="J62" i="7"/>
  <c r="Q16" i="93"/>
  <c r="Q19" i="93"/>
  <c r="Q38" i="93"/>
  <c r="Q52" i="93"/>
  <c r="O58" i="85"/>
  <c r="K50" i="7"/>
  <c r="K43" i="7"/>
  <c r="Q46" i="93"/>
  <c r="P16" i="78"/>
  <c r="O16" i="78" s="1"/>
  <c r="K8" i="7"/>
  <c r="Q42" i="93"/>
  <c r="O51" i="85"/>
  <c r="P54" i="78"/>
  <c r="O54" i="78" s="1"/>
  <c r="I63" i="7"/>
  <c r="I27" i="15"/>
  <c r="N26" i="85"/>
  <c r="P25" i="78"/>
  <c r="O25" i="78" s="1"/>
  <c r="P41" i="78"/>
  <c r="O41" i="78" s="1"/>
  <c r="J60" i="7"/>
  <c r="K23" i="7"/>
  <c r="Q49" i="93"/>
  <c r="Q51" i="93"/>
  <c r="Q56" i="93"/>
  <c r="N20" i="85"/>
  <c r="P20" i="85" s="1"/>
  <c r="H21" i="15"/>
  <c r="I21" i="15" s="1"/>
  <c r="N25" i="85"/>
  <c r="P25" i="85" s="1"/>
  <c r="M44" i="85"/>
  <c r="N44" i="85" s="1"/>
  <c r="P44" i="85" s="1"/>
  <c r="H45" i="15"/>
  <c r="I45" i="15" s="1"/>
  <c r="M46" i="85"/>
  <c r="H47" i="15"/>
  <c r="I47" i="15" s="1"/>
  <c r="M50" i="85"/>
  <c r="N50" i="85" s="1"/>
  <c r="P50" i="85" s="1"/>
  <c r="H51" i="15"/>
  <c r="I51" i="15" s="1"/>
  <c r="K49" i="7"/>
  <c r="Q30" i="93"/>
  <c r="Q8" i="93"/>
  <c r="Q15" i="93"/>
  <c r="Q24" i="93"/>
  <c r="M52" i="85"/>
  <c r="M56" i="85"/>
  <c r="H57" i="15"/>
  <c r="I57" i="15" s="1"/>
  <c r="H33" i="15"/>
  <c r="I33" i="15" s="1"/>
  <c r="N54" i="85"/>
  <c r="P54" i="85" s="1"/>
  <c r="N56" i="85"/>
  <c r="P56" i="85" s="1"/>
  <c r="P47" i="78"/>
  <c r="O47" i="78" s="1"/>
  <c r="P22" i="78"/>
  <c r="O22" i="78" s="1"/>
  <c r="H58" i="15"/>
  <c r="I58" i="15" s="1"/>
  <c r="M57" i="85"/>
  <c r="N57" i="85" s="1"/>
  <c r="P57" i="85" s="1"/>
  <c r="I56" i="7"/>
  <c r="Q20" i="93"/>
  <c r="H49" i="15"/>
  <c r="I49" i="15" s="1"/>
  <c r="M28" i="85"/>
  <c r="N28" i="85" s="1"/>
  <c r="P28" i="85" s="1"/>
  <c r="H29" i="15"/>
  <c r="I29" i="15" s="1"/>
  <c r="H10" i="15"/>
  <c r="I10" i="15" s="1"/>
  <c r="N52" i="85"/>
  <c r="P52" i="85" s="1"/>
  <c r="Q35" i="93"/>
  <c r="Q50" i="93"/>
  <c r="M13" i="85"/>
  <c r="N13" i="85" s="1"/>
  <c r="H14" i="15"/>
  <c r="I14" i="15" s="1"/>
  <c r="M15" i="85"/>
  <c r="N15" i="85" s="1"/>
  <c r="P15" i="85" s="1"/>
  <c r="H16" i="15"/>
  <c r="I16" i="15" s="1"/>
  <c r="M17" i="85"/>
  <c r="H18" i="15"/>
  <c r="I18" i="15" s="1"/>
  <c r="M23" i="85"/>
  <c r="N23" i="85" s="1"/>
  <c r="P23" i="85" s="1"/>
  <c r="H24" i="15"/>
  <c r="I24" i="15" s="1"/>
  <c r="M25" i="85"/>
  <c r="H26" i="15"/>
  <c r="I26" i="15" s="1"/>
  <c r="N7" i="85"/>
  <c r="P7" i="85" s="1"/>
  <c r="H35" i="15"/>
  <c r="I35" i="15" s="1"/>
  <c r="H40" i="15"/>
  <c r="I40" i="15" s="1"/>
  <c r="H44" i="15"/>
  <c r="I44" i="15" s="1"/>
  <c r="H12" i="15"/>
  <c r="I12" i="15" s="1"/>
  <c r="N9" i="85"/>
  <c r="P9" i="85" s="1"/>
  <c r="H17" i="15"/>
  <c r="I17" i="15" s="1"/>
  <c r="H19" i="15"/>
  <c r="I19" i="15" s="1"/>
  <c r="H23" i="15"/>
  <c r="I23" i="15" s="1"/>
  <c r="H28" i="15"/>
  <c r="I28" i="15" s="1"/>
  <c r="N34" i="85"/>
  <c r="P34" i="85" s="1"/>
  <c r="N35" i="85"/>
  <c r="P35" i="85" s="1"/>
  <c r="N37" i="85"/>
  <c r="P37" i="85" s="1"/>
  <c r="N39" i="85"/>
  <c r="P39" i="85" s="1"/>
  <c r="N42" i="85"/>
  <c r="P42" i="85" s="1"/>
  <c r="N43" i="85"/>
  <c r="P43" i="85" s="1"/>
  <c r="N46" i="85"/>
  <c r="P46" i="85" s="1"/>
  <c r="N47" i="85"/>
  <c r="P47" i="85" s="1"/>
  <c r="N48" i="85"/>
  <c r="P48" i="85" s="1"/>
  <c r="N53" i="85"/>
  <c r="P53" i="85" s="1"/>
  <c r="N17" i="85"/>
  <c r="P17" i="85" s="1"/>
  <c r="N18" i="85"/>
  <c r="P18" i="85" s="1"/>
  <c r="N21" i="85"/>
  <c r="P21" i="85" s="1"/>
  <c r="N22" i="85"/>
  <c r="P22" i="85" s="1"/>
  <c r="N30" i="85"/>
  <c r="P30" i="85" s="1"/>
  <c r="H46" i="15"/>
  <c r="I46" i="15" s="1"/>
  <c r="H41" i="15"/>
  <c r="I41" i="15" s="1"/>
  <c r="P13" i="85" l="1"/>
  <c r="N33" i="85"/>
  <c r="C63" i="9"/>
  <c r="I63" i="9" s="1"/>
  <c r="I62" i="9"/>
  <c r="S6" i="109"/>
  <c r="P26" i="85"/>
  <c r="P27" i="78"/>
  <c r="O27" i="78" s="1"/>
  <c r="G62" i="9"/>
  <c r="E63" i="9"/>
  <c r="J63" i="9" s="1"/>
  <c r="P34" i="78"/>
  <c r="O34" i="78" s="1"/>
  <c r="Q27" i="93"/>
  <c r="K56" i="7"/>
  <c r="P52" i="78"/>
  <c r="K33" i="7"/>
  <c r="H34" i="15"/>
  <c r="I34" i="15" s="1"/>
  <c r="M38" i="85"/>
  <c r="N38" i="85" s="1"/>
  <c r="P38" i="85" s="1"/>
  <c r="H39" i="15"/>
  <c r="I39" i="15" s="1"/>
  <c r="O39" i="78"/>
  <c r="M55" i="85"/>
  <c r="N55" i="85" s="1"/>
  <c r="P55" i="85" s="1"/>
  <c r="H56" i="15"/>
  <c r="I56" i="15" s="1"/>
  <c r="P33" i="85" l="1"/>
  <c r="S63" i="109"/>
  <c r="S33" i="109"/>
  <c r="G63" i="9"/>
  <c r="H59" i="15"/>
  <c r="I59" i="15" s="1"/>
  <c r="M58" i="85"/>
  <c r="N58" i="85" s="1"/>
  <c r="P58" i="85" s="1"/>
  <c r="P60" i="85" s="1"/>
  <c r="M51" i="85"/>
  <c r="N51" i="85" s="1"/>
  <c r="P51" i="85" s="1"/>
  <c r="H52" i="15"/>
  <c r="I52" i="15" s="1"/>
  <c r="O52" i="78"/>
  <c r="K63" i="7"/>
  <c r="P59" i="78" l="1"/>
  <c r="O59" i="78" s="1"/>
</calcChain>
</file>

<file path=xl/sharedStrings.xml><?xml version="1.0" encoding="utf-8"?>
<sst xmlns="http://schemas.openxmlformats.org/spreadsheetml/2006/main" count="2559" uniqueCount="503">
  <si>
    <t>TOTAL</t>
  </si>
  <si>
    <t>Total</t>
  </si>
  <si>
    <t>Sl.No.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</si>
  <si>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</si>
  <si>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</si>
  <si>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</si>
  <si>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</si>
  <si>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</si>
  <si>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</si>
  <si>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</si>
  <si>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</si>
  <si>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</si>
  <si>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</si>
  <si>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</si>
  <si>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</si>
  <si>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</si>
  <si>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A/C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</si>
  <si>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</si>
  <si>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</si>
  <si>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</si>
  <si>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</si>
  <si>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</si>
  <si>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</si>
  <si>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</si>
  <si>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</si>
  <si>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</si>
  <si>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</si>
  <si>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</si>
  <si>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</si>
  <si>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</si>
  <si>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</si>
  <si>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</si>
  <si>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</si>
  <si>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</si>
  <si>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</si>
  <si>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</si>
  <si>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</si>
  <si>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</si>
  <si>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</si>
  <si>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</si>
  <si>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CMRHM TOTAL O/S</t>
  </si>
  <si>
    <t>PMEGP TOTAL O/S</t>
  </si>
  <si>
    <t>MMSY/MMYUY/MMAKY TOTAL O/S</t>
  </si>
  <si>
    <t>FARM CREDIT</t>
  </si>
  <si>
    <t>TABLE-13</t>
  </si>
  <si>
    <t>TOTAL NO. OF CARD AS ON DATE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</si>
  <si>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</si>
  <si>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</si>
  <si>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</si>
  <si>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</si>
  <si>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</si>
  <si>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</si>
  <si>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</si>
  <si>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</si>
  <si>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</si>
  <si>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</si>
  <si>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</si>
  <si>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</si>
  <si>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</si>
  <si>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</si>
  <si>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</si>
  <si>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</si>
  <si>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</si>
  <si>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</si>
  <si>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</si>
  <si>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</si>
  <si>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</si>
  <si>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</si>
  <si>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</si>
  <si>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</si>
  <si>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</si>
  <si>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</si>
  <si>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</si>
  <si>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</si>
  <si>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</si>
  <si>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</si>
  <si>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</si>
  <si>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</si>
  <si>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</si>
  <si>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</si>
  <si>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</si>
  <si>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</si>
  <si>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</si>
  <si>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</si>
  <si>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</si>
  <si>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</si>
  <si>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</si>
  <si>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</si>
  <si>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</si>
  <si>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</si>
  <si>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</si>
  <si>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</si>
  <si>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</si>
  <si>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</si>
  <si>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</si>
  <si>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</si>
  <si>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</si>
  <si>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</si>
  <si>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</si>
  <si>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</si>
  <si>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</si>
  <si>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</si>
  <si>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</si>
  <si>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</si>
  <si>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</si>
  <si>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</si>
  <si>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</si>
  <si>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</si>
  <si>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</si>
  <si>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</si>
  <si>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</si>
  <si>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</si>
  <si>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</si>
  <si>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</si>
  <si>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>MMSY/MMYUY/MMAKY [NPA]</t>
  </si>
  <si>
    <t>PMEGP [NPA]</t>
  </si>
  <si>
    <t>CMRHM [NPA]</t>
  </si>
  <si>
    <t>NPA % OF PS ADV.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</si>
  <si>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</si>
  <si>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</si>
  <si>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</si>
  <si>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</si>
  <si>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</si>
  <si>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</si>
  <si>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</si>
  <si>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</si>
  <si>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</si>
  <si>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</si>
  <si>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</si>
  <si>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</si>
  <si>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</si>
  <si>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</si>
  <si>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</si>
  <si>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</si>
  <si>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</si>
  <si>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</si>
  <si>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</si>
  <si>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</si>
  <si>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</si>
  <si>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</si>
  <si>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</si>
  <si>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</si>
  <si>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</si>
  <si>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</si>
  <si>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</si>
  <si>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</si>
  <si>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</si>
  <si>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</si>
  <si>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</si>
  <si>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</si>
  <si>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</si>
  <si>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</si>
  <si>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</si>
  <si>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</si>
  <si>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</si>
  <si>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</si>
  <si>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</si>
  <si>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</si>
  <si>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</si>
  <si>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</si>
  <si>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TARGET MSME FY 2016-17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</si>
  <si>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</si>
  <si>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</si>
  <si>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</si>
  <si>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</si>
  <si>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</si>
  <si>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</si>
  <si>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</si>
  <si>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</si>
  <si>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</si>
  <si>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</si>
  <si>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</si>
  <si>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</si>
  <si>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TABLE-16</t>
  </si>
  <si>
    <t>SHGs NPA</t>
  </si>
  <si>
    <t>SHGs OUTSTANDING</t>
  </si>
  <si>
    <t>TABLE:17</t>
  </si>
  <si>
    <t>Table: 3(i)</t>
  </si>
  <si>
    <t>To be filled by only Lead Banks of concerned Districts</t>
  </si>
  <si>
    <t>DISTRICTS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</si>
  <si>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</si>
  <si>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</si>
  <si>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</si>
  <si>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</si>
  <si>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</si>
  <si>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</si>
  <si>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</si>
  <si>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</si>
  <si>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</si>
  <si>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</si>
  <si>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t>A/c  </t>
  </si>
  <si>
    <t>Amount  </t>
  </si>
  <si>
    <t>A/C  </t>
  </si>
  <si>
    <r>
      <t>of which girl student</t>
    </r>
    <r>
      <rPr>
        <sz val="11"/>
        <rFont val="Times New Roman"/>
        <family val="1"/>
      </rPr>
      <t> </t>
    </r>
  </si>
  <si>
    <r>
      <t>of which Girl student</t>
    </r>
    <r>
      <rPr>
        <sz val="11"/>
        <rFont val="Times New Roman"/>
        <family val="1"/>
      </rPr>
      <t xml:space="preserve"> (out of 8 column)</t>
    </r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</si>
  <si>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</si>
  <si>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</si>
  <si>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</si>
  <si>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</si>
  <si>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>APPLICATION RECEIVED DURING FY 2016-17</t>
  </si>
  <si>
    <t>Loan Disbursed</t>
  </si>
  <si>
    <t xml:space="preserve">Education Loan Outstanding </t>
  </si>
  <si>
    <t>Table: 24</t>
  </si>
  <si>
    <t>OUTSTANDING LOANS TO WOMEN</t>
  </si>
  <si>
    <t>Individual woman beneficiary upto Rs. 1 Lakh (out of total loans to women)</t>
  </si>
  <si>
    <t>TABLE: 3(i)</t>
  </si>
  <si>
    <t>Other loans to weaker sections</t>
  </si>
  <si>
    <t>CROP LOANS (Out of Farm Credit)</t>
  </si>
  <si>
    <t>Oriental Bank of Comm.</t>
  </si>
  <si>
    <t>Punjab and Sindh Bank</t>
  </si>
  <si>
    <t>S.B. of Mysore</t>
  </si>
  <si>
    <t>S.B. of Patiala</t>
  </si>
  <si>
    <t>S.B. of Travancore</t>
  </si>
  <si>
    <t>S.B.B. of Jaipur</t>
  </si>
  <si>
    <t>UCO Bank</t>
  </si>
  <si>
    <t>SUB TOTAL PSBs</t>
  </si>
  <si>
    <t>Bandhan Bank</t>
  </si>
  <si>
    <t>Catholic Syrian Bank</t>
  </si>
  <si>
    <t>Development Credit Bank</t>
  </si>
  <si>
    <t>Dhan Lakshmi Bank</t>
  </si>
  <si>
    <t>Federal Bank Ltd.</t>
  </si>
  <si>
    <t>IDFC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</si>
  <si>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</si>
  <si>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</si>
  <si>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</si>
  <si>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</si>
  <si>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</si>
  <si>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</si>
  <si>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</si>
  <si>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</si>
  <si>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</si>
  <si>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SUB TOTAL RRBs</t>
  </si>
  <si>
    <t>SR</t>
  </si>
  <si>
    <t>GRAND TOTAL</t>
  </si>
  <si>
    <t>M.P.Co-op Bank/DCCBs</t>
  </si>
  <si>
    <t>Catholic Serian Bank</t>
  </si>
  <si>
    <t xml:space="preserve">Jammu &amp; Kashmir Bank </t>
  </si>
  <si>
    <t>TamilNadu Mercantile bank</t>
  </si>
  <si>
    <t>SUB TOTAL PVT.BANKS</t>
  </si>
  <si>
    <t>SUB TOTAL CO-OPERATIVE</t>
  </si>
  <si>
    <t xml:space="preserve">GRAND TOTAL </t>
  </si>
  <si>
    <t>Oriental Bank of Comm</t>
  </si>
  <si>
    <t>SLBC, Madhya Pradesh Convenor-Central Bank of India</t>
  </si>
  <si>
    <t>SLBC, Madhya Pradesh  Convenor: Central Bank of India</t>
  </si>
  <si>
    <t>Bhartiya Mahila Bank</t>
  </si>
  <si>
    <t>IDBI</t>
  </si>
  <si>
    <t>Oriental Bank Of Commerce</t>
  </si>
  <si>
    <t>Punjab &amp; Sindh Bank</t>
  </si>
  <si>
    <t>S.B.Hyderabad</t>
  </si>
  <si>
    <t>S.B.Mysore</t>
  </si>
  <si>
    <t>S.B.Patiala</t>
  </si>
  <si>
    <t>S.B.Travancore</t>
  </si>
  <si>
    <t>S.B.B.Jaipur</t>
  </si>
  <si>
    <t>SUB TOTAL SBI GROUP</t>
  </si>
  <si>
    <t>DCB</t>
  </si>
  <si>
    <t>Dhanlaxmi Bank</t>
  </si>
  <si>
    <t>Federal Bank</t>
  </si>
  <si>
    <t>HDFC</t>
  </si>
  <si>
    <t>ICICI</t>
  </si>
  <si>
    <t>Indusind Bank</t>
  </si>
  <si>
    <t>J&amp;K Bank Ltd.</t>
  </si>
  <si>
    <t>Karnataka Bank Ltd.</t>
  </si>
  <si>
    <t>Kotak Mahindra</t>
  </si>
  <si>
    <t>Laxmi Vilas Bank</t>
  </si>
  <si>
    <t>Ratnakar Bank Ltd.</t>
  </si>
  <si>
    <t>DCCBs</t>
  </si>
  <si>
    <t>Amt</t>
  </si>
  <si>
    <t>No</t>
  </si>
  <si>
    <t>Oriental Bank Of Comm.</t>
  </si>
  <si>
    <t>Achievement upto the end of the current quarter (%) (Amt in Lakhs)</t>
  </si>
  <si>
    <t>PS</t>
  </si>
  <si>
    <t>Diff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</si>
  <si>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</si>
  <si>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</si>
  <si>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</si>
  <si>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</si>
  <si>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</si>
  <si>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</si>
  <si>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 xml:space="preserve">TARGET for FY   2016-17 </t>
  </si>
  <si>
    <t>Savings Linked</t>
  </si>
  <si>
    <t>Credit Linked</t>
  </si>
  <si>
    <t>Current FY</t>
  </si>
  <si>
    <t>Sanctioned including previous year</t>
  </si>
  <si>
    <t>Satement of Progress during the quarter ended 30th June 2016</t>
  </si>
  <si>
    <t>Annex B</t>
  </si>
  <si>
    <t>Name of SLBC Convenor Bank : Central Bank of India</t>
  </si>
  <si>
    <t>Name of State: Madhya Pradesh</t>
  </si>
  <si>
    <t>Name of RBI Regional Office:Bhopal</t>
  </si>
  <si>
    <t xml:space="preserve">Name of District </t>
  </si>
  <si>
    <t>Name of Scheduled Commercial Bank selected to open brick and mortar branches in villages with population more than 5000 without a bank branch of a scheduled commercial bank</t>
  </si>
  <si>
    <t xml:space="preserve">No.of Villages allotted </t>
  </si>
  <si>
    <t>No. of villages where brick &amp; mortar branches opened</t>
  </si>
  <si>
    <t>Brick &amp; mortar branches opened during the quarter ended 30th June 2016</t>
  </si>
  <si>
    <t>Total brick and mortar opened upto the end of the quarter 30th June 2016</t>
  </si>
  <si>
    <t xml:space="preserve">BHIND (8) </t>
  </si>
  <si>
    <t>(1) Bank of Maharashtra</t>
  </si>
  <si>
    <t>Jawasa</t>
  </si>
  <si>
    <t>(2) Corporation Bank</t>
  </si>
  <si>
    <t>Manhad</t>
  </si>
  <si>
    <t>(3) Dena Bank</t>
  </si>
  <si>
    <t>Goara</t>
  </si>
  <si>
    <t>(4) HDFC Bank</t>
  </si>
  <si>
    <t>Rahawali Ubari</t>
  </si>
  <si>
    <t>(5) Syndicate Bank</t>
  </si>
  <si>
    <t>Sherpur</t>
  </si>
  <si>
    <t>(6) Vijaya Bank</t>
  </si>
  <si>
    <t>Sukand</t>
  </si>
  <si>
    <t>BALAGHAT</t>
  </si>
  <si>
    <t>(1) Bandhan Bank</t>
  </si>
  <si>
    <t>Bisoni</t>
  </si>
  <si>
    <t>(2) IDFC Bank</t>
  </si>
  <si>
    <t>Temni</t>
  </si>
  <si>
    <t>BARWANI</t>
  </si>
  <si>
    <t>(1) YES Bank</t>
  </si>
  <si>
    <t>Khurmabad</t>
  </si>
  <si>
    <t>(2) Ratnakar Bank</t>
  </si>
  <si>
    <t>Dugani</t>
  </si>
  <si>
    <t>(3) Federal Bank</t>
  </si>
  <si>
    <t>Solwan</t>
  </si>
  <si>
    <t>(4) NJGB</t>
  </si>
  <si>
    <t>Danodroud</t>
  </si>
  <si>
    <t>(5) State Bank of Hyderabad</t>
  </si>
  <si>
    <t>Jalkheda</t>
  </si>
  <si>
    <t>(6) Indusind Bank</t>
  </si>
  <si>
    <t>Jhopali</t>
  </si>
  <si>
    <t>(7) Jammu &amp; Kashmir Bank Ltd.</t>
  </si>
  <si>
    <t>Jamati</t>
  </si>
  <si>
    <t>(8) State Bank of Patiala</t>
  </si>
  <si>
    <t>Vilva</t>
  </si>
  <si>
    <t>(9) State Bank of Travancore</t>
  </si>
  <si>
    <t>Khokri</t>
  </si>
  <si>
    <t>(10) State Bank of Mysore</t>
  </si>
  <si>
    <t>Chiklay</t>
  </si>
  <si>
    <t xml:space="preserve">BHOPAL (1) </t>
  </si>
  <si>
    <t>(1) Kotak Mahindra Bank</t>
  </si>
  <si>
    <t>Kanhasaiya</t>
  </si>
  <si>
    <t xml:space="preserve">CHHINDWARA (2) </t>
  </si>
  <si>
    <t>(1) Indian Over Seas Bank</t>
  </si>
  <si>
    <t>Berdi</t>
  </si>
  <si>
    <t>(2) U C O Bank</t>
  </si>
  <si>
    <t>Ekalbihari</t>
  </si>
  <si>
    <t>DEWAS</t>
  </si>
  <si>
    <t>(1) Citi Union Bank</t>
  </si>
  <si>
    <t>Bawdikheda</t>
  </si>
  <si>
    <t>DHAR (4)</t>
  </si>
  <si>
    <t>(1) Oriental Bank of Commerce</t>
  </si>
  <si>
    <t>Awaldand</t>
  </si>
  <si>
    <t>(2) Punjab &amp; Sind Bank</t>
  </si>
  <si>
    <t>Sejwaya</t>
  </si>
  <si>
    <t>(3) State Bank of Bikaner &amp;  Jaipur</t>
  </si>
  <si>
    <t>Timayachi</t>
  </si>
  <si>
    <t>(4) Axis Bank</t>
  </si>
  <si>
    <t>Gumanpura</t>
  </si>
  <si>
    <t xml:space="preserve">KHANDWA(1) </t>
  </si>
  <si>
    <t>(1) Central Bank of India</t>
  </si>
  <si>
    <t>Khirala</t>
  </si>
  <si>
    <t>HOSHANGABAD(3)</t>
  </si>
  <si>
    <t>(1) Andhra Bank</t>
  </si>
  <si>
    <t>Bijanwada</t>
  </si>
  <si>
    <t>(2) Indian Bank</t>
  </si>
  <si>
    <t>Raipur</t>
  </si>
  <si>
    <t>(3) State Bank of India</t>
  </si>
  <si>
    <t>Sangakheda kalan</t>
  </si>
  <si>
    <t>MANDSAUR(2)</t>
  </si>
  <si>
    <t>(1) Punjab National Bank</t>
  </si>
  <si>
    <t>Khilchipura</t>
  </si>
  <si>
    <t>(2) Bank of India</t>
  </si>
  <si>
    <t>Multanpura</t>
  </si>
  <si>
    <t>PANNA</t>
  </si>
  <si>
    <t xml:space="preserve">(1) MGB </t>
  </si>
  <si>
    <t>Itwan Kalan</t>
  </si>
  <si>
    <t>(2) State Bank of India</t>
  </si>
  <si>
    <t>Khora</t>
  </si>
  <si>
    <t>(3) Bank of India</t>
  </si>
  <si>
    <t>Nayagaon</t>
  </si>
  <si>
    <t xml:space="preserve">(4) Karnataka Bank </t>
  </si>
  <si>
    <t>Jaswant Pura</t>
  </si>
  <si>
    <t>SATNA(5)</t>
  </si>
  <si>
    <t>(1) Bank of Baroda</t>
  </si>
  <si>
    <t>Aber</t>
  </si>
  <si>
    <t>(2) Union Bank of India</t>
  </si>
  <si>
    <t>Gantha</t>
  </si>
  <si>
    <t>(3) ICICI Bank</t>
  </si>
  <si>
    <t>Bhishampur</t>
  </si>
  <si>
    <t>(4) Canara Bank</t>
  </si>
  <si>
    <t>Kharam Seda</t>
  </si>
  <si>
    <t>SEHORE</t>
  </si>
  <si>
    <t>(1) NJGB</t>
  </si>
  <si>
    <t>Bhonra</t>
  </si>
  <si>
    <t>TIKAMGARH</t>
  </si>
  <si>
    <t>(1) IDBI Bank</t>
  </si>
  <si>
    <t>Astaun Khas</t>
  </si>
  <si>
    <t>(2) South Indian Bank</t>
  </si>
  <si>
    <t>Bachhoda Khas</t>
  </si>
  <si>
    <t>(3) Bandhan Bank</t>
  </si>
  <si>
    <t>Chhandawani Khas</t>
  </si>
  <si>
    <t>(4) I D F C Bank</t>
  </si>
  <si>
    <t>Muhara Khas</t>
  </si>
  <si>
    <t xml:space="preserve">(5) Allahabad Bank </t>
  </si>
  <si>
    <t>Satguwan Khas</t>
  </si>
  <si>
    <t>(6) United Bank of India</t>
  </si>
  <si>
    <t>Biawarkhas</t>
  </si>
  <si>
    <t>LDM, Bhopal revisited the villages and informed that there is only one village "Kanhasaiya" where there is no brick &amp; mortar</t>
  </si>
  <si>
    <t>branch in Bhopal district. Accordingly, village Kanhasaiya is allotted to Kotak Mahindra Bank in the place of Ratanpur village in Bhopal District.</t>
  </si>
  <si>
    <t>Roadmap- Progress in opening brick and mortar branches in villages with population more than 5000</t>
  </si>
  <si>
    <t>Sr. No.</t>
  </si>
  <si>
    <t>Name of the Bank</t>
  </si>
  <si>
    <t>PSBs - SUB TOTAL</t>
  </si>
  <si>
    <t>PRIVATE BANK - SUB TOTAL</t>
  </si>
  <si>
    <t>DCCB</t>
  </si>
  <si>
    <t>CO-OPERATIVE BANK - SUB TOTAL</t>
  </si>
  <si>
    <t>Grand Total</t>
  </si>
  <si>
    <t>RRBs- SUB TOTAL</t>
  </si>
  <si>
    <t>CENTRE WISE INFORMATION REGARDING DEPOSITS, ADVANCES AND C.D.RATIO  30.09.2016</t>
  </si>
  <si>
    <t>PSBs- SUB TOTAL</t>
  </si>
  <si>
    <t xml:space="preserve"> REGIONAL RURAL BANK - SUB TOTAL</t>
  </si>
  <si>
    <t>BANKWISE TOTAL DEPOSITS, ADVANCES AND C.D.RATIO  As on 30.09.2016</t>
  </si>
  <si>
    <t>PREVIOUS QUARTER 30.06.16</t>
  </si>
  <si>
    <t>CURRENT QUARTER 30.09.16</t>
  </si>
  <si>
    <t>DEPOSIT GROWTH %</t>
  </si>
  <si>
    <t>ADVANCEGROWTH %</t>
  </si>
  <si>
    <t>AGRICULTURE OUTSTANDING AS ON 30.09.2016</t>
  </si>
  <si>
    <t>RRBs - SUB TOTAL</t>
  </si>
  <si>
    <t>Deposits</t>
  </si>
  <si>
    <t>Advances</t>
  </si>
  <si>
    <t>Outstanding upto the end of current quarter 30.09.2016</t>
  </si>
  <si>
    <t>MSME  (PRIORITY SECTOR) OUTSTANDING AS ON 30.09.2016</t>
  </si>
  <si>
    <t>PRIORITY SECTOR  OUTSTANDING AS ON 30.09.2016</t>
  </si>
  <si>
    <t>NON-PRIORITY SECTOR  OUTSTANDING AS ON 30.09.2016   Table:8</t>
  </si>
  <si>
    <t>Actual</t>
  </si>
  <si>
    <t>ADVANCES TO WEAKER SECTION OUTSTANDING AS ON 30.09.2016</t>
  </si>
  <si>
    <t>DISTRICT WISE TOTAL DEPOSITS, ADVANCES AND C.D.RATIO  As on 30.09.2016</t>
  </si>
  <si>
    <t>AGAR MALWA</t>
  </si>
  <si>
    <t>ALIRAJPUR</t>
  </si>
  <si>
    <t>ANUPPUR</t>
  </si>
  <si>
    <t>ASHOK NAGAR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</si>
  <si>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</si>
  <si>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</si>
  <si>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</si>
  <si>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</si>
  <si>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</si>
  <si>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</si>
  <si>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</si>
  <si>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</si>
  <si>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</si>
  <si>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</si>
  <si>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</si>
  <si>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</si>
  <si>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</si>
  <si>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</si>
  <si>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</si>
  <si>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</si>
  <si>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</si>
  <si>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</si>
  <si>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</si>
  <si>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</si>
  <si>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</si>
  <si>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</si>
  <si>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</si>
  <si>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NARSINGHPUR</t>
  </si>
  <si>
    <t>NEEMUCH</t>
  </si>
  <si>
    <t>RAISEN</t>
  </si>
  <si>
    <t>RAJGARH</t>
  </si>
  <si>
    <t>RATLAM</t>
  </si>
  <si>
    <t>REWA</t>
  </si>
  <si>
    <t>SAGAR</t>
  </si>
  <si>
    <t>SATNA</t>
  </si>
  <si>
    <t>SEONI</t>
  </si>
  <si>
    <t>SHAHDOL</t>
  </si>
  <si>
    <t>SHAJAPUR</t>
  </si>
  <si>
    <t>SHEOPUR</t>
  </si>
  <si>
    <t>SHIVPURI</t>
  </si>
  <si>
    <t>SIDHI</t>
  </si>
  <si>
    <t>SINGARULI</t>
  </si>
  <si>
    <t>UJJAIN</t>
  </si>
  <si>
    <t>UMARIA</t>
  </si>
  <si>
    <t>VIDISHA</t>
  </si>
  <si>
    <t>Sheet 2</t>
  </si>
  <si>
    <t>ANNUAL CREDIT PLAN ACHIEVEMENT UNDER AGRICULTURE AS ON 30.09.2016</t>
  </si>
  <si>
    <t>PROGRESS UNDER KISAN CREDIT CARD (As on 30.09.2016)</t>
  </si>
  <si>
    <t>ANNUAL CREDIT PLAN ACHIEVEMENT UNDER MSME (PRI SEC) AS ON 30.09.2016</t>
  </si>
  <si>
    <t>Disbursement upto the end of current quarter 30.09.2016</t>
  </si>
  <si>
    <t>ANNUAL CREDIT PLAN ACHIEVEMENT UNDER PRIORITY SECTOR AS ON 30.09.2016</t>
  </si>
  <si>
    <t>ANNUAL CREDIT PLAN ACHIEVEMENT UNDER NON-PRIORITY SECTOR AS ON 30.09.2016</t>
  </si>
  <si>
    <t>POSITION OF NPA AS ON 30.09.2016</t>
  </si>
  <si>
    <t>POSITION OF SECTOR WISE NPA (PRIORITY SECTOR) As on 30.09.2016</t>
  </si>
  <si>
    <t>POSITION OF SECTOR WISE NPA (NON PRIORITY SECTOR) As on 30.09.2016</t>
  </si>
  <si>
    <t>POSITION OF NPA UNDER GOVT. SPONSORED SCHEME As on30.09.2016</t>
  </si>
  <si>
    <t/>
  </si>
  <si>
    <t>LOANS OUTSTANDING TO SC/ST AS ON 30.09.2016</t>
  </si>
  <si>
    <t>LOANS DISBURSED TO SC/ST 01.04.16 TO 30.09.16</t>
  </si>
  <si>
    <t>ADVANCES TO WOMEN AS ON 30.09.2016</t>
  </si>
  <si>
    <t>LOANS DISBURSED TO WOMEN 01.04.16 TO 30.09.16</t>
  </si>
  <si>
    <t>POSITION SHG BANK LINKAGE PROGRAMME AS ON 30.09.2016</t>
  </si>
  <si>
    <t>LOANS OUTSTANDING TO MINORITY COMMUNITIES AS ON 30.09.2016</t>
  </si>
  <si>
    <t>LOANS DISBURSED TO MINORITY COMMUNITIES 01.04.16 TO 30.09.16</t>
  </si>
  <si>
    <t>Bank wise Position of Branches/ATM as on 30.09.2016</t>
  </si>
  <si>
    <t>NO. OF CARD ISSUED DURING 01.04.16 to 30.09.16</t>
  </si>
  <si>
    <t>PROGRESS UNDER HIGHER EDUCATION LOANS AS ON 30.09.2016</t>
  </si>
  <si>
    <t xml:space="preserve">June </t>
  </si>
  <si>
    <t>Sep</t>
  </si>
  <si>
    <t>Business in June</t>
  </si>
  <si>
    <t>Business in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</si>
</sst>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[$-409]mmm\-yy;@"/>
  </numFmts>
  <fonts count="43" x14ac:knownFonts="1">
    <font>
      <sz val="10"/>
      <color theme="4" tint="-0.2499465926084170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sz val="14"/>
      <name val="Times New Roman"/>
      <family val="1"/>
    </font>
    <font>
      <b/>
      <sz val="10.5"/>
      <name val="Times New Roman"/>
      <family val="1"/>
    </font>
    <font>
      <i/>
      <u/>
      <sz val="10.5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color rgb="FFFF0000"/>
      <name val="Times New Roman"/>
      <family val="1"/>
    </font>
    <font>
      <sz val="14"/>
      <color rgb="FFFF0000"/>
      <name val="Times New Roman"/>
      <family val="1"/>
    </font>
    <font>
      <sz val="10"/>
      <color theme="4" tint="-0.2499465926084170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b/>
      <sz val="10"/>
      <color theme="4" tint="-0.24994659260841701"/>
      <name val="Times New Roman"/>
      <family val="1"/>
    </font>
    <font>
      <sz val="10.45"/>
      <name val="Times New Roman"/>
      <family val="1"/>
    </font>
    <font>
      <b/>
      <sz val="10.4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9">
    <xf numFmtId="0" fontId="0" fillId="0" borderId="0">
      <alignment vertical="top" wrapText="1"/>
    </xf>
    <xf numFmtId="164" fontId="22" fillId="0" borderId="0" applyFont="0" applyFill="0" applyBorder="0" applyAlignment="0" applyProtection="0"/>
    <xf numFmtId="43" fontId="13" fillId="0" borderId="0" applyFill="0" applyBorder="0" applyAlignment="0" applyProtection="0"/>
    <xf numFmtId="0" fontId="5" fillId="0" borderId="0"/>
    <xf numFmtId="0" fontId="1" fillId="0" borderId="0"/>
    <xf numFmtId="0" fontId="21" fillId="0" borderId="0" applyNumberFormat="0" applyFill="0" applyBorder="0" applyAlignment="0" applyProtection="0">
      <alignment vertical="top" wrapText="1"/>
    </xf>
    <xf numFmtId="0" fontId="23" fillId="0" borderId="0" applyNumberFormat="0" applyFill="0" applyBorder="0" applyProtection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 wrapText="1"/>
    </xf>
    <xf numFmtId="0" fontId="13" fillId="0" borderId="0"/>
    <xf numFmtId="0" fontId="26" fillId="0" borderId="0"/>
    <xf numFmtId="0" fontId="21" fillId="0" borderId="0">
      <alignment vertical="top" wrapText="1"/>
    </xf>
    <xf numFmtId="0" fontId="26" fillId="0" borderId="0"/>
    <xf numFmtId="0" fontId="21" fillId="0" borderId="0">
      <alignment vertical="top" wrapText="1"/>
    </xf>
    <xf numFmtId="0" fontId="26" fillId="0" borderId="0"/>
    <xf numFmtId="0" fontId="26" fillId="0" borderId="0"/>
    <xf numFmtId="0" fontId="8" fillId="0" borderId="0">
      <alignment vertical="top" wrapText="1"/>
    </xf>
    <xf numFmtId="0" fontId="21" fillId="0" borderId="0">
      <alignment vertical="top" wrapText="1"/>
    </xf>
    <xf numFmtId="0" fontId="26" fillId="0" borderId="0"/>
    <xf numFmtId="0" fontId="26" fillId="0" borderId="0"/>
    <xf numFmtId="0" fontId="26" fillId="0" borderId="0"/>
    <xf numFmtId="0" fontId="14" fillId="0" borderId="0"/>
    <xf numFmtId="0" fontId="21" fillId="0" borderId="0">
      <alignment vertical="top" wrapText="1"/>
    </xf>
    <xf numFmtId="0" fontId="26" fillId="0" borderId="0"/>
    <xf numFmtId="0" fontId="21" fillId="0" borderId="0">
      <alignment vertical="top" wrapText="1"/>
    </xf>
    <xf numFmtId="0" fontId="21" fillId="0" borderId="0">
      <alignment vertical="top" wrapText="1"/>
    </xf>
    <xf numFmtId="0" fontId="26" fillId="0" borderId="0"/>
    <xf numFmtId="0" fontId="12" fillId="0" borderId="0"/>
    <xf numFmtId="0" fontId="21" fillId="0" borderId="0">
      <alignment vertical="top" wrapText="1"/>
    </xf>
    <xf numFmtId="0" fontId="21" fillId="0" borderId="0">
      <alignment vertical="top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top" wrapText="1"/>
    </xf>
    <xf numFmtId="0" fontId="8" fillId="0" borderId="0">
      <alignment vertical="top" wrapText="1"/>
    </xf>
    <xf numFmtId="0" fontId="21" fillId="0" borderId="0">
      <alignment vertical="top" wrapText="1"/>
    </xf>
    <xf numFmtId="0" fontId="22" fillId="0" borderId="0"/>
    <xf numFmtId="0" fontId="21" fillId="0" borderId="0">
      <alignment vertical="top" wrapText="1"/>
    </xf>
    <xf numFmtId="0" fontId="8" fillId="0" borderId="0">
      <alignment vertical="top" wrapText="1"/>
    </xf>
    <xf numFmtId="0" fontId="21" fillId="0" borderId="0">
      <alignment vertical="top" wrapText="1"/>
    </xf>
    <xf numFmtId="0" fontId="22" fillId="0" borderId="0"/>
    <xf numFmtId="9" fontId="8" fillId="0" borderId="0" applyFont="0" applyFill="0" applyBorder="0" applyAlignment="0" applyProtection="0"/>
  </cellStyleXfs>
  <cellXfs count="543">
    <xf numFmtId="0" fontId="0" fillId="0" borderId="0" xfId="0">
      <alignment vertical="top" wrapText="1"/>
    </xf>
    <xf numFmtId="0" fontId="7" fillId="2" borderId="1" xfId="0" applyFont="1" applyFill="1" applyBorder="1" applyAlignment="1">
      <alignment vertical="center"/>
    </xf>
    <xf numFmtId="2" fontId="3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2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>
      <alignment vertical="top" wrapText="1"/>
    </xf>
    <xf numFmtId="1" fontId="2" fillId="2" borderId="0" xfId="0" applyNumberFormat="1" applyFont="1" applyFill="1">
      <alignment vertical="top" wrapText="1"/>
    </xf>
    <xf numFmtId="1" fontId="2" fillId="2" borderId="0" xfId="0" applyNumberFormat="1" applyFont="1" applyFill="1" applyAlignment="1" applyProtection="1">
      <alignment horizontal="right" vertical="top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2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2" fontId="30" fillId="2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2" fontId="28" fillId="2" borderId="1" xfId="0" applyNumberFormat="1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2" fontId="28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1" fontId="2" fillId="2" borderId="0" xfId="0" applyNumberFormat="1" applyFont="1" applyFill="1" applyAlignment="1" applyProtection="1">
      <alignment horizontal="right" vertical="center"/>
      <protection locked="0"/>
    </xf>
    <xf numFmtId="1" fontId="2" fillId="2" borderId="0" xfId="0" applyNumberFormat="1" applyFont="1" applyFill="1" applyProtection="1">
      <alignment vertical="top" wrapText="1"/>
      <protection locked="0"/>
    </xf>
    <xf numFmtId="1" fontId="3" fillId="2" borderId="0" xfId="0" applyNumberFormat="1" applyFont="1" applyFill="1" applyProtection="1">
      <alignment vertical="top" wrapText="1"/>
      <protection locked="0"/>
    </xf>
    <xf numFmtId="2" fontId="2" fillId="2" borderId="0" xfId="0" applyNumberFormat="1" applyFont="1" applyFill="1">
      <alignment vertical="top" wrapText="1"/>
    </xf>
    <xf numFmtId="0" fontId="3" fillId="2" borderId="0" xfId="0" applyFont="1" applyFill="1" applyProtection="1">
      <alignment vertical="top" wrapText="1"/>
      <protection locked="0"/>
    </xf>
    <xf numFmtId="2" fontId="2" fillId="2" borderId="0" xfId="0" applyNumberFormat="1" applyFont="1" applyFill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Protection="1">
      <alignment vertical="top" wrapText="1"/>
      <protection locked="0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2" fontId="6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16" fillId="2" borderId="0" xfId="0" applyFont="1" applyFill="1" applyProtection="1">
      <alignment vertical="top" wrapText="1"/>
      <protection locked="0"/>
    </xf>
    <xf numFmtId="2" fontId="16" fillId="2" borderId="0" xfId="0" applyNumberFormat="1" applyFont="1" applyFill="1" applyAlignment="1" applyProtection="1">
      <alignment horizontal="center" vertical="center" wrapText="1"/>
      <protection locked="0"/>
    </xf>
    <xf numFmtId="1" fontId="16" fillId="2" borderId="0" xfId="0" applyNumberFormat="1" applyFont="1" applyFill="1" applyProtection="1">
      <alignment vertical="top" wrapText="1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1" fontId="6" fillId="2" borderId="0" xfId="0" applyNumberFormat="1" applyFont="1" applyFill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1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right" vertical="center" wrapText="1"/>
    </xf>
    <xf numFmtId="2" fontId="6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>
      <alignment vertical="top" wrapText="1"/>
    </xf>
    <xf numFmtId="0" fontId="6" fillId="0" borderId="8" xfId="0" applyFont="1" applyBorder="1" applyAlignment="1">
      <alignment horizontal="center" vertical="center" wrapText="1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1" fontId="16" fillId="2" borderId="0" xfId="0" applyNumberFormat="1" applyFont="1" applyFill="1" applyAlignment="1" applyProtection="1">
      <alignment horizontal="right" vertical="center"/>
      <protection locked="0"/>
    </xf>
    <xf numFmtId="0" fontId="15" fillId="2" borderId="0" xfId="0" applyFont="1" applyFill="1" applyProtection="1">
      <alignment vertical="top" wrapText="1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vertical="center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" xfId="56" applyFont="1" applyFill="1" applyBorder="1" applyAlignment="1" applyProtection="1">
      <alignment horizontal="center" vertical="top" wrapText="1"/>
      <protection locked="0"/>
    </xf>
    <xf numFmtId="0" fontId="15" fillId="2" borderId="1" xfId="56" applyFont="1" applyFill="1" applyBorder="1" applyAlignment="1"/>
    <xf numFmtId="1" fontId="15" fillId="2" borderId="1" xfId="56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right" vertical="center" wrapText="1"/>
    </xf>
    <xf numFmtId="2" fontId="15" fillId="2" borderId="1" xfId="56" applyNumberFormat="1" applyFont="1" applyFill="1" applyBorder="1" applyAlignment="1" applyProtection="1">
      <alignment horizontal="right" vertical="center" wrapText="1"/>
    </xf>
    <xf numFmtId="1" fontId="15" fillId="3" borderId="1" xfId="0" applyNumberFormat="1" applyFont="1" applyFill="1" applyBorder="1" applyAlignment="1">
      <alignment horizontal="right" vertical="top" wrapText="1"/>
    </xf>
    <xf numFmtId="1" fontId="15" fillId="2" borderId="1" xfId="56" applyNumberFormat="1" applyFont="1" applyFill="1" applyBorder="1" applyAlignment="1" applyProtection="1">
      <alignment horizontal="right" vertical="center"/>
      <protection locked="0"/>
    </xf>
    <xf numFmtId="1" fontId="15" fillId="2" borderId="1" xfId="56" applyNumberFormat="1" applyFont="1" applyFill="1" applyBorder="1" applyAlignment="1" applyProtection="1">
      <alignment horizontal="right" vertical="top" wrapText="1"/>
      <protection locked="0"/>
    </xf>
    <xf numFmtId="1" fontId="15" fillId="2" borderId="1" xfId="0" applyNumberFormat="1" applyFont="1" applyFill="1" applyBorder="1" applyAlignment="1">
      <alignment horizontal="right" vertical="center" wrapText="1"/>
    </xf>
    <xf numFmtId="1" fontId="15" fillId="2" borderId="1" xfId="18" applyNumberFormat="1" applyFont="1" applyFill="1" applyBorder="1" applyAlignment="1" applyProtection="1">
      <alignment horizontal="right" vertical="center" wrapText="1"/>
    </xf>
    <xf numFmtId="1" fontId="15" fillId="2" borderId="1" xfId="51" applyNumberFormat="1" applyFont="1" applyFill="1" applyBorder="1" applyAlignment="1" applyProtection="1">
      <alignment horizontal="right" vertical="center" wrapText="1"/>
      <protection locked="0"/>
    </xf>
    <xf numFmtId="1" fontId="15" fillId="2" borderId="1" xfId="23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56" applyFont="1" applyFill="1" applyBorder="1" applyAlignment="1"/>
    <xf numFmtId="1" fontId="17" fillId="2" borderId="1" xfId="56" applyNumberFormat="1" applyFont="1" applyFill="1" applyBorder="1" applyAlignment="1" applyProtection="1">
      <alignment horizontal="right" vertical="center"/>
      <protection locked="0"/>
    </xf>
    <xf numFmtId="2" fontId="17" fillId="2" borderId="1" xfId="56" applyNumberFormat="1" applyFont="1" applyFill="1" applyBorder="1" applyAlignment="1" applyProtection="1">
      <alignment horizontal="right" vertical="center" wrapText="1"/>
    </xf>
    <xf numFmtId="1" fontId="15" fillId="2" borderId="1" xfId="56" applyNumberFormat="1" applyFont="1" applyFill="1" applyBorder="1" applyAlignment="1" applyProtection="1">
      <alignment horizontal="right" wrapText="1"/>
    </xf>
    <xf numFmtId="0" fontId="15" fillId="2" borderId="1" xfId="56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right"/>
    </xf>
    <xf numFmtId="1" fontId="15" fillId="2" borderId="1" xfId="0" applyNumberFormat="1" applyFont="1" applyFill="1" applyBorder="1" applyAlignment="1">
      <alignment horizontal="right"/>
    </xf>
    <xf numFmtId="1" fontId="15" fillId="2" borderId="1" xfId="18" applyNumberFormat="1" applyFont="1" applyFill="1" applyBorder="1" applyAlignment="1" applyProtection="1">
      <alignment horizontal="right" vertical="center" wrapText="1"/>
      <protection locked="0"/>
    </xf>
    <xf numFmtId="1" fontId="15" fillId="2" borderId="1" xfId="18" applyNumberFormat="1" applyFont="1" applyFill="1" applyBorder="1" applyAlignment="1" applyProtection="1">
      <alignment horizontal="right" wrapText="1"/>
      <protection locked="0"/>
    </xf>
    <xf numFmtId="0" fontId="6" fillId="2" borderId="0" xfId="0" applyFont="1" applyFill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>
      <alignment horizontal="left" vertical="center" wrapText="1"/>
    </xf>
    <xf numFmtId="1" fontId="6" fillId="2" borderId="12" xfId="0" applyNumberFormat="1" applyFont="1" applyFill="1" applyBorder="1" applyAlignment="1" applyProtection="1">
      <alignment vertical="top" wrapText="1"/>
      <protection locked="0"/>
    </xf>
    <xf numFmtId="1" fontId="29" fillId="2" borderId="1" xfId="0" applyNumberFormat="1" applyFont="1" applyFill="1" applyBorder="1" applyAlignment="1">
      <alignment horizontal="right" vertical="center"/>
    </xf>
    <xf numFmtId="2" fontId="30" fillId="2" borderId="1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wrapText="1"/>
    </xf>
    <xf numFmtId="1" fontId="30" fillId="2" borderId="1" xfId="0" applyNumberFormat="1" applyFont="1" applyFill="1" applyBorder="1" applyAlignment="1">
      <alignment horizontal="right" vertical="center"/>
    </xf>
    <xf numFmtId="1" fontId="19" fillId="3" borderId="1" xfId="0" applyNumberFormat="1" applyFont="1" applyFill="1" applyBorder="1" applyAlignment="1">
      <alignment horizontal="right" vertical="center"/>
    </xf>
    <xf numFmtId="0" fontId="31" fillId="2" borderId="1" xfId="0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horizontal="right" vertical="center"/>
    </xf>
    <xf numFmtId="2" fontId="17" fillId="2" borderId="1" xfId="0" applyNumberFormat="1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1" fontId="15" fillId="2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15" fillId="2" borderId="11" xfId="0" applyFont="1" applyFill="1" applyBorder="1" applyAlignment="1">
      <alignment vertical="center" wrapText="1"/>
    </xf>
    <xf numFmtId="0" fontId="15" fillId="2" borderId="11" xfId="0" applyFont="1" applyFill="1" applyBorder="1" applyAlignment="1"/>
    <xf numFmtId="0" fontId="15" fillId="2" borderId="13" xfId="0" applyFont="1" applyFill="1" applyBorder="1" applyAlignment="1"/>
    <xf numFmtId="0" fontId="15" fillId="2" borderId="0" xfId="0" applyFont="1" applyFill="1" applyBorder="1" applyAlignment="1">
      <alignment wrapText="1"/>
    </xf>
    <xf numFmtId="0" fontId="17" fillId="2" borderId="11" xfId="0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15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5" fillId="2" borderId="1" xfId="58" applyNumberFormat="1" applyFont="1" applyFill="1" applyBorder="1" applyAlignment="1">
      <alignment vertical="center"/>
    </xf>
    <xf numFmtId="2" fontId="17" fillId="2" borderId="1" xfId="58" applyNumberFormat="1" applyFont="1" applyFill="1" applyBorder="1" applyAlignment="1">
      <alignment vertical="center"/>
    </xf>
    <xf numFmtId="1" fontId="15" fillId="2" borderId="11" xfId="0" applyNumberFormat="1" applyFont="1" applyFill="1" applyBorder="1" applyAlignment="1"/>
    <xf numFmtId="1" fontId="15" fillId="2" borderId="13" xfId="0" applyNumberFormat="1" applyFont="1" applyFill="1" applyBorder="1" applyAlignment="1"/>
    <xf numFmtId="1" fontId="15" fillId="2" borderId="11" xfId="0" applyNumberFormat="1" applyFont="1" applyFill="1" applyBorder="1" applyAlignment="1">
      <alignment vertical="center"/>
    </xf>
    <xf numFmtId="1" fontId="15" fillId="2" borderId="0" xfId="0" applyNumberFormat="1" applyFont="1" applyFill="1" applyBorder="1" applyAlignment="1">
      <alignment wrapText="1"/>
    </xf>
    <xf numFmtId="1" fontId="17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vertical="center" wrapText="1"/>
    </xf>
    <xf numFmtId="1" fontId="17" fillId="2" borderId="11" xfId="0" applyNumberFormat="1" applyFont="1" applyFill="1" applyBorder="1" applyAlignment="1">
      <alignment vertical="center"/>
    </xf>
    <xf numFmtId="1" fontId="15" fillId="2" borderId="11" xfId="0" applyNumberFormat="1" applyFont="1" applyFill="1" applyBorder="1" applyAlignment="1">
      <alignment vertical="center" wrapText="1"/>
    </xf>
    <xf numFmtId="1" fontId="15" fillId="2" borderId="13" xfId="0" applyNumberFormat="1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9" fontId="32" fillId="2" borderId="0" xfId="0" applyNumberFormat="1" applyFont="1" applyFill="1" applyAlignment="1">
      <alignment vertical="center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1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1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0" xfId="0" applyNumberFormat="1" applyFont="1" applyFill="1" applyAlignment="1" applyProtection="1">
      <alignment horizontal="center" vertical="top" wrapText="1"/>
      <protection locked="0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2" fontId="30" fillId="2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2" fillId="2" borderId="0" xfId="0" applyFont="1" applyFill="1" applyAlignment="1" applyProtection="1">
      <alignment vertical="center"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9" fillId="2" borderId="0" xfId="0" applyFont="1" applyFill="1" applyAlignment="1">
      <alignment vertical="center"/>
    </xf>
    <xf numFmtId="2" fontId="29" fillId="2" borderId="1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vertical="center"/>
      <protection locked="0"/>
    </xf>
    <xf numFmtId="1" fontId="30" fillId="2" borderId="0" xfId="0" applyNumberFormat="1" applyFont="1" applyFill="1" applyAlignment="1">
      <alignment vertical="center"/>
    </xf>
    <xf numFmtId="1" fontId="29" fillId="2" borderId="0" xfId="0" applyNumberFormat="1" applyFont="1" applyFill="1" applyAlignment="1">
      <alignment vertical="center"/>
    </xf>
    <xf numFmtId="2" fontId="30" fillId="2" borderId="0" xfId="0" applyNumberFormat="1" applyFont="1" applyFill="1" applyAlignment="1">
      <alignment vertical="center"/>
    </xf>
    <xf numFmtId="2" fontId="29" fillId="2" borderId="0" xfId="0" applyNumberFormat="1" applyFont="1" applyFill="1" applyAlignment="1">
      <alignment vertical="center"/>
    </xf>
    <xf numFmtId="1" fontId="30" fillId="2" borderId="1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11" xfId="0" applyFont="1" applyFill="1" applyBorder="1" applyAlignment="1">
      <alignment vertical="center"/>
    </xf>
    <xf numFmtId="1" fontId="29" fillId="2" borderId="1" xfId="0" applyNumberFormat="1" applyFont="1" applyFill="1" applyBorder="1" applyAlignment="1">
      <alignment vertical="center"/>
    </xf>
    <xf numFmtId="0" fontId="29" fillId="2" borderId="11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vertical="center"/>
    </xf>
    <xf numFmtId="1" fontId="30" fillId="2" borderId="1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1" fontId="20" fillId="2" borderId="0" xfId="0" applyNumberFormat="1" applyFont="1" applyFill="1" applyAlignment="1">
      <alignment vertical="center"/>
    </xf>
    <xf numFmtId="1" fontId="33" fillId="2" borderId="0" xfId="0" applyNumberFormat="1" applyFont="1" applyFill="1" applyAlignment="1" applyProtection="1">
      <alignment horizontal="right" vertical="center"/>
      <protection locked="0"/>
    </xf>
    <xf numFmtId="1" fontId="33" fillId="2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 applyProtection="1">
      <alignment vertical="top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1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vertical="center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 applyProtection="1">
      <alignment vertical="center" wrapText="1"/>
      <protection locked="0"/>
    </xf>
    <xf numFmtId="1" fontId="2" fillId="2" borderId="0" xfId="0" applyNumberFormat="1" applyFont="1" applyFill="1" applyAlignment="1" applyProtection="1">
      <alignment vertical="center" wrapText="1"/>
      <protection locked="0"/>
    </xf>
    <xf numFmtId="2" fontId="2" fillId="2" borderId="0" xfId="0" applyNumberFormat="1" applyFont="1" applyFill="1" applyAlignment="1">
      <alignment vertical="center" wrapText="1"/>
    </xf>
    <xf numFmtId="1" fontId="17" fillId="2" borderId="1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1" fontId="15" fillId="2" borderId="1" xfId="0" applyNumberFormat="1" applyFont="1" applyFill="1" applyBorder="1">
      <alignment vertical="top" wrapText="1"/>
    </xf>
    <xf numFmtId="0" fontId="30" fillId="0" borderId="1" xfId="0" applyFont="1" applyBorder="1" applyAlignment="1">
      <alignment horizontal="center" vertical="center"/>
    </xf>
    <xf numFmtId="1" fontId="17" fillId="2" borderId="1" xfId="0" applyNumberFormat="1" applyFont="1" applyFill="1" applyBorder="1">
      <alignment vertical="top" wrapText="1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1" fontId="29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>
      <alignment vertical="center" wrapText="1"/>
    </xf>
    <xf numFmtId="0" fontId="3" fillId="2" borderId="0" xfId="0" applyFont="1" applyFill="1">
      <alignment vertical="top" wrapText="1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Protection="1">
      <alignment vertical="top" wrapText="1"/>
      <protection locked="0"/>
    </xf>
    <xf numFmtId="0" fontId="29" fillId="0" borderId="1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1" fontId="17" fillId="2" borderId="1" xfId="0" applyNumberFormat="1" applyFont="1" applyFill="1" applyBorder="1" applyProtection="1">
      <alignment vertical="top" wrapText="1"/>
      <protection locked="0"/>
    </xf>
    <xf numFmtId="0" fontId="29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vertical="center"/>
    </xf>
    <xf numFmtId="1" fontId="15" fillId="2" borderId="17" xfId="0" applyNumberFormat="1" applyFont="1" applyFill="1" applyBorder="1" applyProtection="1">
      <alignment vertical="top" wrapText="1"/>
      <protection locked="0"/>
    </xf>
    <xf numFmtId="2" fontId="10" fillId="2" borderId="0" xfId="0" applyNumberFormat="1" applyFont="1" applyFill="1" applyProtection="1">
      <alignment vertical="top" wrapText="1"/>
      <protection locked="0"/>
    </xf>
    <xf numFmtId="1" fontId="10" fillId="2" borderId="0" xfId="0" applyNumberFormat="1" applyFont="1" applyFill="1" applyProtection="1">
      <alignment vertical="top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alignment vertical="top" wrapText="1"/>
      <protection locked="0"/>
    </xf>
    <xf numFmtId="1" fontId="6" fillId="2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>
      <alignment vertical="top" wrapText="1"/>
    </xf>
    <xf numFmtId="1" fontId="3" fillId="0" borderId="7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3" fillId="0" borderId="0" xfId="0" applyFont="1">
      <alignment vertical="top" wrapText="1"/>
    </xf>
    <xf numFmtId="1" fontId="15" fillId="2" borderId="1" xfId="0" applyNumberFormat="1" applyFont="1" applyFill="1" applyBorder="1" applyAlignment="1" applyProtection="1">
      <alignment vertical="top" wrapText="1"/>
      <protection locked="0"/>
    </xf>
    <xf numFmtId="1" fontId="15" fillId="2" borderId="1" xfId="0" applyNumberFormat="1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Protection="1">
      <alignment vertical="top" wrapText="1"/>
      <protection locked="0"/>
    </xf>
    <xf numFmtId="1" fontId="15" fillId="2" borderId="1" xfId="18" applyNumberFormat="1" applyFont="1" applyFill="1" applyBorder="1" applyAlignment="1" applyProtection="1">
      <alignment vertical="top" wrapText="1"/>
      <protection locked="0"/>
    </xf>
    <xf numFmtId="1" fontId="15" fillId="2" borderId="1" xfId="18" applyNumberFormat="1" applyFont="1" applyFill="1" applyBorder="1" applyAlignment="1" applyProtection="1">
      <alignment vertical="center" wrapText="1"/>
      <protection locked="0"/>
    </xf>
    <xf numFmtId="2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Protection="1">
      <alignment vertical="top" wrapText="1"/>
      <protection locked="0"/>
    </xf>
    <xf numFmtId="2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>
      <alignment vertical="top" wrapText="1"/>
    </xf>
    <xf numFmtId="0" fontId="34" fillId="2" borderId="0" xfId="0" applyFont="1" applyFill="1">
      <alignment vertical="top" wrapText="1"/>
    </xf>
    <xf numFmtId="1" fontId="10" fillId="2" borderId="0" xfId="0" applyNumberFormat="1" applyFont="1" applyFill="1">
      <alignment vertical="top" wrapText="1"/>
    </xf>
    <xf numFmtId="1" fontId="34" fillId="2" borderId="0" xfId="0" applyNumberFormat="1" applyFont="1" applyFill="1">
      <alignment vertical="top" wrapText="1"/>
    </xf>
    <xf numFmtId="1" fontId="15" fillId="3" borderId="1" xfId="0" applyNumberFormat="1" applyFont="1" applyFill="1" applyBorder="1" applyAlignment="1" applyProtection="1">
      <alignment horizontal="right" vertical="center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0" xfId="0" applyNumberFormat="1" applyFont="1" applyFill="1">
      <alignment vertical="top" wrapText="1"/>
    </xf>
    <xf numFmtId="1" fontId="16" fillId="2" borderId="0" xfId="0" applyNumberFormat="1" applyFont="1" applyFill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5" fillId="0" borderId="1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23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left"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56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right" vertical="center"/>
      <protection locked="0"/>
    </xf>
    <xf numFmtId="1" fontId="15" fillId="2" borderId="1" xfId="0" applyNumberFormat="1" applyFont="1" applyFill="1" applyBorder="1" applyAlignment="1" applyProtection="1">
      <alignment vertical="center"/>
      <protection locked="0"/>
    </xf>
    <xf numFmtId="1" fontId="15" fillId="2" borderId="0" xfId="0" applyNumberFormat="1" applyFont="1" applyFill="1" applyAlignment="1" applyProtection="1">
      <alignment vertical="center"/>
      <protection locked="0"/>
    </xf>
    <xf numFmtId="2" fontId="15" fillId="2" borderId="0" xfId="0" applyNumberFormat="1" applyFont="1" applyFill="1" applyAlignment="1" applyProtection="1">
      <alignment vertical="center"/>
      <protection locked="0"/>
    </xf>
    <xf numFmtId="2" fontId="15" fillId="2" borderId="1" xfId="0" applyNumberFormat="1" applyFont="1" applyFill="1" applyBorder="1" applyAlignment="1" applyProtection="1">
      <alignment vertical="center"/>
      <protection locked="0"/>
    </xf>
    <xf numFmtId="1" fontId="17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wrapText="1"/>
    </xf>
    <xf numFmtId="2" fontId="33" fillId="2" borderId="0" xfId="0" applyNumberFormat="1" applyFont="1" applyFill="1" applyAlignment="1" applyProtection="1">
      <alignment vertical="center"/>
      <protection locked="0"/>
    </xf>
    <xf numFmtId="0" fontId="15" fillId="2" borderId="16" xfId="56" applyFont="1" applyFill="1" applyBorder="1" applyAlignment="1" applyProtection="1">
      <alignment horizontal="center" vertical="top" wrapText="1"/>
      <protection locked="0"/>
    </xf>
    <xf numFmtId="0" fontId="17" fillId="2" borderId="16" xfId="56" applyFont="1" applyFill="1" applyBorder="1" applyAlignment="1"/>
    <xf numFmtId="1" fontId="17" fillId="2" borderId="16" xfId="56" applyNumberFormat="1" applyFont="1" applyFill="1" applyBorder="1" applyAlignment="1" applyProtection="1">
      <alignment horizontal="right" vertical="center"/>
      <protection locked="0"/>
    </xf>
    <xf numFmtId="2" fontId="17" fillId="2" borderId="16" xfId="56" applyNumberFormat="1" applyFont="1" applyFill="1" applyBorder="1" applyAlignment="1" applyProtection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right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15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vertical="center"/>
    </xf>
    <xf numFmtId="0" fontId="15" fillId="2" borderId="1" xfId="0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1" fontId="39" fillId="0" borderId="0" xfId="0" applyNumberFormat="1" applyFont="1" applyFill="1" applyBorder="1" applyAlignment="1"/>
    <xf numFmtId="0" fontId="39" fillId="0" borderId="0" xfId="0" applyFont="1" applyFill="1" applyBorder="1" applyAlignment="1"/>
    <xf numFmtId="0" fontId="30" fillId="2" borderId="1" xfId="0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Protection="1">
      <alignment vertical="top" wrapText="1"/>
      <protection locked="0"/>
    </xf>
    <xf numFmtId="1" fontId="15" fillId="2" borderId="0" xfId="0" applyNumberFormat="1" applyFont="1" applyFill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alignment vertical="top" wrapText="1"/>
      <protection locked="0"/>
    </xf>
    <xf numFmtId="0" fontId="17" fillId="2" borderId="0" xfId="0" applyFont="1" applyFill="1" applyProtection="1">
      <alignment vertical="top" wrapText="1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2" fontId="15" fillId="2" borderId="25" xfId="0" applyNumberFormat="1" applyFont="1" applyFill="1" applyBorder="1" applyAlignment="1">
      <alignment vertical="center" wrapText="1"/>
    </xf>
    <xf numFmtId="2" fontId="17" fillId="2" borderId="25" xfId="0" applyNumberFormat="1" applyFont="1" applyFill="1" applyBorder="1" applyAlignment="1">
      <alignment vertical="center" wrapText="1"/>
    </xf>
    <xf numFmtId="2" fontId="17" fillId="2" borderId="18" xfId="0" applyNumberFormat="1" applyFont="1" applyFill="1" applyBorder="1" applyAlignment="1">
      <alignment vertical="center" wrapText="1"/>
    </xf>
    <xf numFmtId="1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29" fillId="0" borderId="1" xfId="0" applyNumberFormat="1" applyFont="1" applyBorder="1" applyAlignment="1">
      <alignment vertical="center" wrapText="1"/>
    </xf>
    <xf numFmtId="1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7" fillId="2" borderId="1" xfId="0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vertical="center" wrapText="1"/>
    </xf>
    <xf numFmtId="1" fontId="15" fillId="2" borderId="0" xfId="0" applyNumberFormat="1" applyFont="1" applyFill="1" applyAlignment="1">
      <alignment vertical="center" wrapText="1"/>
    </xf>
    <xf numFmtId="2" fontId="15" fillId="2" borderId="0" xfId="0" applyNumberFormat="1" applyFont="1" applyFill="1" applyAlignment="1">
      <alignment vertical="center" wrapText="1"/>
    </xf>
    <xf numFmtId="1" fontId="17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17" fillId="2" borderId="0" xfId="0" applyNumberFormat="1" applyFont="1" applyFill="1" applyAlignment="1">
      <alignment vertical="center" wrapText="1"/>
    </xf>
    <xf numFmtId="1" fontId="3" fillId="2" borderId="0" xfId="0" applyNumberFormat="1" applyFont="1" applyFill="1">
      <alignment vertical="top" wrapText="1"/>
    </xf>
    <xf numFmtId="1" fontId="15" fillId="2" borderId="0" xfId="0" applyNumberFormat="1" applyFont="1" applyFill="1">
      <alignment vertical="top" wrapText="1"/>
    </xf>
    <xf numFmtId="1" fontId="32" fillId="2" borderId="0" xfId="0" applyNumberFormat="1" applyFont="1" applyFill="1">
      <alignment vertical="top" wrapText="1"/>
    </xf>
    <xf numFmtId="1" fontId="17" fillId="2" borderId="0" xfId="0" applyNumberFormat="1" applyFont="1" applyFill="1">
      <alignment vertical="top" wrapText="1"/>
    </xf>
    <xf numFmtId="1" fontId="31" fillId="2" borderId="0" xfId="0" applyNumberFormat="1" applyFont="1" applyFill="1">
      <alignment vertical="top" wrapText="1"/>
    </xf>
    <xf numFmtId="1" fontId="29" fillId="2" borderId="1" xfId="0" applyNumberFormat="1" applyFont="1" applyFill="1" applyBorder="1" applyAlignment="1">
      <alignment vertical="center" wrapText="1"/>
    </xf>
    <xf numFmtId="1" fontId="15" fillId="2" borderId="1" xfId="0" applyNumberFormat="1" applyFont="1" applyFill="1" applyBorder="1" applyAlignment="1"/>
    <xf numFmtId="1" fontId="15" fillId="2" borderId="1" xfId="0" applyNumberFormat="1" applyFont="1" applyFill="1" applyBorder="1" applyAlignment="1">
      <alignment wrapText="1"/>
    </xf>
    <xf numFmtId="2" fontId="15" fillId="2" borderId="1" xfId="0" applyNumberFormat="1" applyFont="1" applyFill="1" applyBorder="1" applyProtection="1">
      <alignment vertical="top" wrapText="1"/>
      <protection locked="0"/>
    </xf>
    <xf numFmtId="2" fontId="17" fillId="2" borderId="1" xfId="0" applyNumberFormat="1" applyFont="1" applyFill="1" applyBorder="1" applyProtection="1">
      <alignment vertical="top" wrapText="1"/>
      <protection locked="0"/>
    </xf>
    <xf numFmtId="1" fontId="15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2" borderId="0" xfId="0" applyNumberFormat="1" applyFont="1" applyFill="1" applyAlignment="1" applyProtection="1">
      <alignment vertical="top"/>
      <protection locked="0"/>
    </xf>
    <xf numFmtId="1" fontId="17" fillId="2" borderId="1" xfId="0" applyNumberFormat="1" applyFont="1" applyFill="1" applyBorder="1" applyAlignment="1" applyProtection="1">
      <alignment horizontal="center" vertical="top" wrapText="1"/>
      <protection locked="0"/>
    </xf>
    <xf numFmtId="2" fontId="15" fillId="2" borderId="1" xfId="0" applyNumberFormat="1" applyFont="1" applyFill="1" applyBorder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>
      <alignment vertical="top" wrapText="1"/>
    </xf>
    <xf numFmtId="2" fontId="17" fillId="2" borderId="1" xfId="0" applyNumberFormat="1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3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>
      <alignment vertical="top" wrapText="1"/>
    </xf>
    <xf numFmtId="1" fontId="15" fillId="2" borderId="1" xfId="0" applyNumberFormat="1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Protection="1">
      <alignment vertical="top" wrapText="1"/>
      <protection locked="0"/>
    </xf>
    <xf numFmtId="1" fontId="15" fillId="3" borderId="1" xfId="23" applyNumberFormat="1" applyFont="1" applyFill="1" applyBorder="1" applyAlignment="1" applyProtection="1">
      <alignment vertical="top" wrapText="1"/>
      <protection locked="0"/>
    </xf>
    <xf numFmtId="0" fontId="17" fillId="2" borderId="1" xfId="56" applyFont="1" applyFill="1" applyBorder="1" applyAlignment="1" applyProtection="1">
      <alignment horizontal="center" vertical="top" wrapText="1"/>
      <protection locked="0"/>
    </xf>
    <xf numFmtId="1" fontId="40" fillId="2" borderId="0" xfId="0" applyNumberFormat="1" applyFont="1" applyFill="1">
      <alignment vertical="top" wrapText="1"/>
    </xf>
    <xf numFmtId="1" fontId="15" fillId="3" borderId="1" xfId="0" applyNumberFormat="1" applyFont="1" applyFill="1" applyBorder="1" applyAlignment="1" applyProtection="1">
      <alignment horizontal="right" vertical="center" wrapText="1"/>
    </xf>
    <xf numFmtId="1" fontId="41" fillId="2" borderId="1" xfId="0" applyNumberFormat="1" applyFont="1" applyFill="1" applyBorder="1" applyAlignment="1">
      <alignment horizontal="center" vertical="center"/>
    </xf>
    <xf numFmtId="1" fontId="41" fillId="2" borderId="1" xfId="0" applyNumberFormat="1" applyFont="1" applyFill="1" applyBorder="1" applyAlignment="1">
      <alignment vertical="center"/>
    </xf>
    <xf numFmtId="1" fontId="41" fillId="2" borderId="1" xfId="0" applyNumberFormat="1" applyFont="1" applyFill="1" applyBorder="1" applyProtection="1">
      <alignment vertical="top" wrapText="1"/>
      <protection locked="0"/>
    </xf>
    <xf numFmtId="1" fontId="41" fillId="2" borderId="1" xfId="0" applyNumberFormat="1" applyFont="1" applyFill="1" applyBorder="1">
      <alignment vertical="top" wrapText="1"/>
    </xf>
    <xf numFmtId="1" fontId="41" fillId="2" borderId="1" xfId="0" applyNumberFormat="1" applyFont="1" applyFill="1" applyBorder="1" applyAlignment="1">
      <alignment vertical="center" wrapText="1"/>
    </xf>
    <xf numFmtId="1" fontId="41" fillId="2" borderId="1" xfId="0" applyNumberFormat="1" applyFont="1" applyFill="1" applyBorder="1" applyAlignment="1"/>
    <xf numFmtId="1" fontId="41" fillId="2" borderId="1" xfId="0" applyNumberFormat="1" applyFont="1" applyFill="1" applyBorder="1" applyAlignment="1">
      <alignment wrapText="1"/>
    </xf>
    <xf numFmtId="1" fontId="42" fillId="2" borderId="1" xfId="0" applyNumberFormat="1" applyFont="1" applyFill="1" applyBorder="1">
      <alignment vertical="top" wrapText="1"/>
    </xf>
    <xf numFmtId="0" fontId="41" fillId="2" borderId="1" xfId="0" applyFont="1" applyFill="1" applyBorder="1">
      <alignment vertical="top" wrapText="1"/>
    </xf>
    <xf numFmtId="1" fontId="42" fillId="2" borderId="1" xfId="0" applyNumberFormat="1" applyFont="1" applyFill="1" applyBorder="1" applyAlignment="1">
      <alignment horizontal="center" vertical="center"/>
    </xf>
    <xf numFmtId="1" fontId="42" fillId="2" borderId="1" xfId="0" applyNumberFormat="1" applyFont="1" applyFill="1" applyBorder="1" applyAlignment="1">
      <alignment vertical="center"/>
    </xf>
    <xf numFmtId="0" fontId="42" fillId="2" borderId="1" xfId="0" applyFont="1" applyFill="1" applyBorder="1">
      <alignment vertical="top" wrapText="1"/>
    </xf>
    <xf numFmtId="0" fontId="41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" fontId="2" fillId="5" borderId="37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>
      <alignment vertical="top" wrapText="1"/>
    </xf>
    <xf numFmtId="1" fontId="17" fillId="0" borderId="1" xfId="0" applyNumberFormat="1" applyFont="1" applyBorder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>
      <alignment vertical="top" wrapText="1"/>
    </xf>
    <xf numFmtId="2" fontId="11" fillId="0" borderId="0" xfId="0" applyNumberFormat="1" applyFont="1">
      <alignment vertical="top" wrapText="1"/>
    </xf>
    <xf numFmtId="2" fontId="2" fillId="0" borderId="0" xfId="0" applyNumberFormat="1" applyFont="1">
      <alignment vertical="top" wrapText="1"/>
    </xf>
    <xf numFmtId="1" fontId="15" fillId="9" borderId="1" xfId="0" applyNumberFormat="1" applyFont="1" applyFill="1" applyBorder="1" applyAlignment="1">
      <alignment vertical="center"/>
    </xf>
    <xf numFmtId="1" fontId="15" fillId="9" borderId="0" xfId="0" applyNumberFormat="1" applyFont="1" applyFill="1" applyAlignment="1">
      <alignment vertical="center"/>
    </xf>
    <xf numFmtId="2" fontId="15" fillId="9" borderId="0" xfId="0" applyNumberFormat="1" applyFont="1" applyFill="1" applyAlignment="1">
      <alignment vertical="center"/>
    </xf>
    <xf numFmtId="0" fontId="15" fillId="9" borderId="0" xfId="0" applyFont="1" applyFill="1" applyAlignment="1">
      <alignment vertical="center"/>
    </xf>
    <xf numFmtId="1" fontId="32" fillId="2" borderId="1" xfId="0" applyNumberFormat="1" applyFont="1" applyFill="1" applyBorder="1" applyAlignment="1">
      <alignment vertical="center"/>
    </xf>
    <xf numFmtId="1" fontId="32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vertical="center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2" fontId="16" fillId="2" borderId="0" xfId="0" applyNumberFormat="1" applyFont="1" applyFill="1" applyAlignment="1" applyProtection="1">
      <alignment vertical="center"/>
      <protection locked="0"/>
    </xf>
    <xf numFmtId="2" fontId="6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vertical="center"/>
      <protection locked="0"/>
    </xf>
    <xf numFmtId="2" fontId="6" fillId="9" borderId="0" xfId="0" applyNumberFormat="1" applyFont="1" applyFill="1" applyAlignment="1" applyProtection="1">
      <alignment vertical="center"/>
      <protection locked="0"/>
    </xf>
    <xf numFmtId="165" fontId="15" fillId="2" borderId="0" xfId="0" applyNumberFormat="1" applyFont="1" applyFill="1" applyAlignment="1">
      <alignment vertical="center"/>
    </xf>
    <xf numFmtId="1" fontId="29" fillId="9" borderId="1" xfId="0" applyNumberFormat="1" applyFont="1" applyFill="1" applyBorder="1" applyAlignment="1">
      <alignment horizontal="center" vertical="center"/>
    </xf>
    <xf numFmtId="1" fontId="29" fillId="9" borderId="1" xfId="0" applyNumberFormat="1" applyFont="1" applyFill="1" applyBorder="1" applyAlignment="1">
      <alignment vertical="center"/>
    </xf>
    <xf numFmtId="1" fontId="15" fillId="9" borderId="1" xfId="0" applyNumberFormat="1" applyFont="1" applyFill="1" applyBorder="1" applyAlignment="1">
      <alignment vertical="center" wrapText="1"/>
    </xf>
    <xf numFmtId="1" fontId="15" fillId="9" borderId="1" xfId="0" applyNumberFormat="1" applyFont="1" applyFill="1" applyBorder="1" applyAlignment="1" applyProtection="1">
      <alignment vertical="center" wrapText="1"/>
      <protection locked="0"/>
    </xf>
    <xf numFmtId="2" fontId="15" fillId="9" borderId="25" xfId="0" applyNumberFormat="1" applyFont="1" applyFill="1" applyBorder="1" applyAlignment="1">
      <alignment vertical="center" wrapText="1"/>
    </xf>
    <xf numFmtId="1" fontId="15" fillId="9" borderId="0" xfId="0" applyNumberFormat="1" applyFont="1" applyFill="1" applyAlignment="1">
      <alignment vertical="center" wrapText="1"/>
    </xf>
    <xf numFmtId="1" fontId="2" fillId="9" borderId="0" xfId="0" applyNumberFormat="1" applyFont="1" applyFill="1" applyAlignment="1">
      <alignment vertical="center" wrapText="1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" fontId="6" fillId="2" borderId="0" xfId="0" applyNumberFormat="1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7" fillId="2" borderId="1" xfId="56" applyFont="1" applyFill="1" applyBorder="1" applyAlignment="1" applyProtection="1">
      <alignment horizontal="center" vertical="center" wrapText="1"/>
      <protection locked="0"/>
    </xf>
    <xf numFmtId="1" fontId="17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1" fontId="17" fillId="2" borderId="18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2" borderId="26" xfId="0" applyNumberFormat="1" applyFont="1" applyFill="1" applyBorder="1" applyAlignment="1">
      <alignment horizontal="center" vertical="center" wrapText="1"/>
    </xf>
    <xf numFmtId="1" fontId="17" fillId="2" borderId="24" xfId="0" applyNumberFormat="1" applyFont="1" applyFill="1" applyBorder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25" xfId="0" applyNumberFormat="1" applyFont="1" applyFill="1" applyBorder="1" applyAlignment="1">
      <alignment horizontal="center" vertical="center" wrapText="1"/>
    </xf>
    <xf numFmtId="1" fontId="17" fillId="2" borderId="23" xfId="0" applyNumberFormat="1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 wrapText="1"/>
    </xf>
    <xf numFmtId="2" fontId="30" fillId="2" borderId="16" xfId="0" applyNumberFormat="1" applyFont="1" applyFill="1" applyBorder="1" applyAlignment="1">
      <alignment horizontal="center" vertical="center" wrapText="1"/>
    </xf>
    <xf numFmtId="2" fontId="30" fillId="2" borderId="27" xfId="0" applyNumberFormat="1" applyFont="1" applyFill="1" applyBorder="1" applyAlignment="1">
      <alignment horizontal="center" vertical="center" wrapText="1"/>
    </xf>
    <xf numFmtId="2" fontId="30" fillId="2" borderId="17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1" fontId="30" fillId="2" borderId="1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" fontId="17" fillId="2" borderId="16" xfId="0" applyNumberFormat="1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3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vertical="center" wrapText="1"/>
      <protection locked="0"/>
    </xf>
    <xf numFmtId="1" fontId="17" fillId="2" borderId="16" xfId="0" applyNumberFormat="1" applyFont="1" applyFill="1" applyBorder="1" applyAlignment="1" applyProtection="1">
      <alignment vertical="center" wrapText="1"/>
      <protection locked="0"/>
    </xf>
    <xf numFmtId="1" fontId="17" fillId="2" borderId="14" xfId="0" applyNumberFormat="1" applyFont="1" applyFill="1" applyBorder="1" applyAlignment="1" applyProtection="1">
      <alignment vertical="center" wrapText="1"/>
      <protection locked="0"/>
    </xf>
    <xf numFmtId="1" fontId="17" fillId="2" borderId="31" xfId="0" applyNumberFormat="1" applyFont="1" applyFill="1" applyBorder="1" applyAlignment="1" applyProtection="1">
      <alignment vertical="center" wrapText="1"/>
      <protection locked="0"/>
    </xf>
    <xf numFmtId="2" fontId="17" fillId="2" borderId="1" xfId="0" applyNumberFormat="1" applyFont="1" applyFill="1" applyBorder="1" applyAlignment="1">
      <alignment vertical="center" wrapText="1"/>
    </xf>
    <xf numFmtId="1" fontId="17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0" xfId="0" applyNumberFormat="1" applyFont="1" applyFill="1" applyAlignment="1" applyProtection="1">
      <alignment horizontal="center" vertical="center"/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 wrapText="1"/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>
      <alignment horizontal="center" vertical="top" wrapText="1"/>
    </xf>
    <xf numFmtId="1" fontId="3" fillId="5" borderId="34" xfId="0" applyNumberFormat="1" applyFont="1" applyFill="1" applyBorder="1" applyAlignment="1">
      <alignment horizontal="center" vertical="center" wrapText="1"/>
    </xf>
    <xf numFmtId="1" fontId="3" fillId="5" borderId="35" xfId="0" applyNumberFormat="1" applyFont="1" applyFill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center" wrapText="1"/>
    </xf>
    <xf numFmtId="1" fontId="3" fillId="0" borderId="35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1" fontId="3" fillId="0" borderId="32" xfId="0" applyNumberFormat="1" applyFont="1" applyBorder="1" applyAlignment="1">
      <alignment horizontal="center" vertical="top" wrapText="1"/>
    </xf>
    <xf numFmtId="1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30" xfId="0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 applyProtection="1">
      <alignment horizontal="center" vertical="top" wrapText="1"/>
      <protection locked="0"/>
    </xf>
    <xf numFmtId="1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3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horizontal="left" vertical="top" wrapText="1"/>
      <protection locked="0"/>
    </xf>
    <xf numFmtId="1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</cellXfs>
  <cellStyles count="59"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Percent" xfId="58" builtinId="5"/>
  </cellStyles>
  <dxfs count="2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color rgb="FFFF0000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215"/>
      <tableStyleElement type="headerRow" dxfId="214"/>
      <tableStyleElement type="totalRow" dxfId="213"/>
      <tableStyleElement type="firstColumn" dxfId="212"/>
      <tableStyleElement type="lastColumn" dxfId="211"/>
      <tableStyleElement type="firstRowStripe" dxfId="210"/>
      <tableStyleElement type="firstColumnStripe" dxfId="20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CustomerList" displayName="CustomerList" ref="A3:G62" totalsRowShown="0" headerRowDxfId="206" dataDxfId="205" totalsRowDxfId="204">
  <autoFilter ref="A3:G62"/>
  <tableColumns count="7">
    <tableColumn id="1" name="SR" dataDxfId="203" totalsRowDxfId="202"/>
    <tableColumn id="2" name="BANKS" dataDxfId="201" totalsRowDxfId="200"/>
    <tableColumn id="3" name="RURAL" dataDxfId="199" totalsRowDxfId="198"/>
    <tableColumn id="4" name="SEMI URBAN" dataDxfId="197" totalsRowDxfId="196"/>
    <tableColumn id="5" name="URBAN" dataDxfId="195" totalsRowDxfId="194"/>
    <tableColumn id="6" name="TOTAL" dataDxfId="193" totalsRowDxfId="192"/>
    <tableColumn id="8" name="ATMS" dataDxfId="191" totalsRowDxfId="190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H62"/>
  <sheetViews>
    <sheetView showGridLines="0" zoomScaleNormal="100" workbookViewId="0">
      <pane xSplit="1" ySplit="3" topLeftCell="B46" activePane="bottomRight" state="frozen"/>
      <selection pane="topRight" activeCell="D1" sqref="D1"/>
      <selection pane="bottomLeft" activeCell="A3" sqref="A3"/>
      <selection pane="bottomRight" activeCell="F55" sqref="F55:F57"/>
    </sheetView>
  </sheetViews>
  <sheetFormatPr defaultRowHeight="18.75" customHeight="1" x14ac:dyDescent="0.2"/>
  <cols>
    <col min="1" max="1" width="5.7109375" style="59" customWidth="1"/>
    <col min="2" max="2" width="25.85546875" style="59" customWidth="1"/>
    <col min="3" max="3" width="12.42578125" style="64" bestFit="1" customWidth="1"/>
    <col min="4" max="4" width="13.140625" style="64" customWidth="1"/>
    <col min="5" max="5" width="12.28515625" style="64" bestFit="1" customWidth="1"/>
    <col min="6" max="6" width="12.140625" style="64" bestFit="1" customWidth="1"/>
    <col min="7" max="7" width="11" style="64" bestFit="1" customWidth="1"/>
    <col min="8" max="16384" width="9.140625" style="59"/>
  </cols>
  <sheetData>
    <row r="1" spans="1:8" ht="18.75" customHeight="1" x14ac:dyDescent="0.2">
      <c r="A1" s="404" t="s">
        <v>496</v>
      </c>
      <c r="B1" s="404"/>
      <c r="C1" s="404"/>
      <c r="D1" s="404"/>
      <c r="E1" s="404"/>
      <c r="F1" s="404"/>
      <c r="G1" s="404"/>
    </row>
    <row r="2" spans="1:8" s="61" customFormat="1" ht="15" customHeight="1" x14ac:dyDescent="0.2">
      <c r="A2" s="405" t="s">
        <v>99</v>
      </c>
      <c r="B2" s="405"/>
      <c r="C2" s="405"/>
      <c r="D2" s="405"/>
      <c r="E2" s="405"/>
      <c r="F2" s="405"/>
      <c r="G2" s="405"/>
      <c r="H2" s="60"/>
    </row>
    <row r="3" spans="1:8" s="63" customFormat="1" ht="15" customHeight="1" x14ac:dyDescent="0.2">
      <c r="A3" s="62" t="s">
        <v>232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0</v>
      </c>
      <c r="G3" s="62" t="s">
        <v>7</v>
      </c>
    </row>
    <row r="4" spans="1:8" ht="15" customHeight="1" x14ac:dyDescent="0.2">
      <c r="A4" s="65">
        <v>1</v>
      </c>
      <c r="B4" s="66" t="s">
        <v>56</v>
      </c>
      <c r="C4" s="66">
        <v>84</v>
      </c>
      <c r="D4" s="66">
        <v>47</v>
      </c>
      <c r="E4" s="66">
        <v>74</v>
      </c>
      <c r="F4" s="66">
        <f>CustomerList[[#This Row],[URBAN]]+CustomerList[[#This Row],[SEMI URBAN]]+CustomerList[[#This Row],[RURAL]]</f>
        <v>205</v>
      </c>
      <c r="G4" s="66">
        <v>90</v>
      </c>
    </row>
    <row r="5" spans="1:8" ht="15" customHeight="1" x14ac:dyDescent="0.2">
      <c r="A5" s="65">
        <v>2</v>
      </c>
      <c r="B5" s="66" t="s">
        <v>57</v>
      </c>
      <c r="C5" s="66">
        <v>1</v>
      </c>
      <c r="D5" s="66">
        <v>9</v>
      </c>
      <c r="E5" s="66">
        <v>30</v>
      </c>
      <c r="F5" s="66">
        <f>CustomerList[[#This Row],[URBAN]]+CustomerList[[#This Row],[SEMI URBAN]]+CustomerList[[#This Row],[RURAL]]</f>
        <v>40</v>
      </c>
      <c r="G5" s="66">
        <v>39</v>
      </c>
    </row>
    <row r="6" spans="1:8" ht="15" customHeight="1" x14ac:dyDescent="0.2">
      <c r="A6" s="65">
        <v>3</v>
      </c>
      <c r="B6" s="66" t="s">
        <v>58</v>
      </c>
      <c r="C6" s="66">
        <v>31</v>
      </c>
      <c r="D6" s="66">
        <v>81</v>
      </c>
      <c r="E6" s="66">
        <v>76</v>
      </c>
      <c r="F6" s="66">
        <f>CustomerList[[#This Row],[URBAN]]+CustomerList[[#This Row],[SEMI URBAN]]+CustomerList[[#This Row],[RURAL]]</f>
        <v>188</v>
      </c>
      <c r="G6" s="66">
        <v>348</v>
      </c>
    </row>
    <row r="7" spans="1:8" ht="15" customHeight="1" x14ac:dyDescent="0.2">
      <c r="A7" s="65">
        <v>4</v>
      </c>
      <c r="B7" s="66" t="s">
        <v>59</v>
      </c>
      <c r="C7" s="66">
        <v>186</v>
      </c>
      <c r="D7" s="66">
        <v>141</v>
      </c>
      <c r="E7" s="66">
        <v>110</v>
      </c>
      <c r="F7" s="66">
        <f>CustomerList[[#This Row],[URBAN]]+CustomerList[[#This Row],[SEMI URBAN]]+CustomerList[[#This Row],[RURAL]]</f>
        <v>437</v>
      </c>
      <c r="G7" s="66">
        <v>685</v>
      </c>
    </row>
    <row r="8" spans="1:8" ht="15" customHeight="1" x14ac:dyDescent="0.2">
      <c r="A8" s="65">
        <v>5</v>
      </c>
      <c r="B8" s="66" t="s">
        <v>60</v>
      </c>
      <c r="C8" s="66">
        <v>86</v>
      </c>
      <c r="D8" s="66">
        <v>22</v>
      </c>
      <c r="E8" s="66">
        <v>37</v>
      </c>
      <c r="F8" s="66">
        <f>CustomerList[[#This Row],[URBAN]]+CustomerList[[#This Row],[SEMI URBAN]]+CustomerList[[#This Row],[RURAL]]</f>
        <v>145</v>
      </c>
      <c r="G8" s="66">
        <v>150</v>
      </c>
    </row>
    <row r="9" spans="1:8" ht="15" customHeight="1" x14ac:dyDescent="0.2">
      <c r="A9" s="65">
        <v>6</v>
      </c>
      <c r="B9" s="66" t="s">
        <v>244</v>
      </c>
      <c r="C9" s="66">
        <v>0</v>
      </c>
      <c r="D9" s="66">
        <v>0</v>
      </c>
      <c r="E9" s="66">
        <v>5</v>
      </c>
      <c r="F9" s="66">
        <f>CustomerList[[#This Row],[URBAN]]+CustomerList[[#This Row],[SEMI URBAN]]+CustomerList[[#This Row],[RURAL]]</f>
        <v>5</v>
      </c>
      <c r="G9" s="66">
        <v>5</v>
      </c>
    </row>
    <row r="10" spans="1:8" ht="15" customHeight="1" x14ac:dyDescent="0.2">
      <c r="A10" s="65">
        <v>7</v>
      </c>
      <c r="B10" s="66" t="s">
        <v>61</v>
      </c>
      <c r="C10" s="66">
        <v>32</v>
      </c>
      <c r="D10" s="66">
        <v>95</v>
      </c>
      <c r="E10" s="66">
        <v>88</v>
      </c>
      <c r="F10" s="66">
        <f>CustomerList[[#This Row],[URBAN]]+CustomerList[[#This Row],[SEMI URBAN]]+CustomerList[[#This Row],[RURAL]]</f>
        <v>215</v>
      </c>
      <c r="G10" s="66">
        <v>271</v>
      </c>
    </row>
    <row r="11" spans="1:8" ht="15" customHeight="1" x14ac:dyDescent="0.2">
      <c r="A11" s="65">
        <v>8</v>
      </c>
      <c r="B11" s="66" t="s">
        <v>62</v>
      </c>
      <c r="C11" s="66">
        <v>235</v>
      </c>
      <c r="D11" s="66">
        <v>140</v>
      </c>
      <c r="E11" s="66">
        <v>94</v>
      </c>
      <c r="F11" s="66">
        <f>CustomerList[[#This Row],[URBAN]]+CustomerList[[#This Row],[SEMI URBAN]]+CustomerList[[#This Row],[RURAL]]</f>
        <v>469</v>
      </c>
      <c r="G11" s="66">
        <v>585</v>
      </c>
    </row>
    <row r="12" spans="1:8" ht="15" customHeight="1" x14ac:dyDescent="0.2">
      <c r="A12" s="65">
        <v>9</v>
      </c>
      <c r="B12" s="66" t="s">
        <v>49</v>
      </c>
      <c r="C12" s="66">
        <v>9</v>
      </c>
      <c r="D12" s="66">
        <v>12</v>
      </c>
      <c r="E12" s="66">
        <v>42</v>
      </c>
      <c r="F12" s="66">
        <f>CustomerList[[#This Row],[URBAN]]+CustomerList[[#This Row],[SEMI URBAN]]+CustomerList[[#This Row],[RURAL]]</f>
        <v>63</v>
      </c>
      <c r="G12" s="66">
        <v>89</v>
      </c>
    </row>
    <row r="13" spans="1:8" ht="15" customHeight="1" x14ac:dyDescent="0.2">
      <c r="A13" s="65">
        <v>10</v>
      </c>
      <c r="B13" s="66" t="s">
        <v>50</v>
      </c>
      <c r="C13" s="66">
        <v>9</v>
      </c>
      <c r="D13" s="66">
        <v>20</v>
      </c>
      <c r="E13" s="66">
        <v>39</v>
      </c>
      <c r="F13" s="66">
        <f>CustomerList[[#This Row],[URBAN]]+CustomerList[[#This Row],[SEMI URBAN]]+CustomerList[[#This Row],[RURAL]]</f>
        <v>68</v>
      </c>
      <c r="G13" s="66">
        <v>58</v>
      </c>
    </row>
    <row r="14" spans="1:8" ht="15" customHeight="1" x14ac:dyDescent="0.2">
      <c r="A14" s="65">
        <v>11</v>
      </c>
      <c r="B14" s="66" t="s">
        <v>82</v>
      </c>
      <c r="C14" s="66">
        <v>24</v>
      </c>
      <c r="D14" s="66">
        <v>38</v>
      </c>
      <c r="E14" s="66">
        <v>39</v>
      </c>
      <c r="F14" s="66">
        <f>CustomerList[[#This Row],[URBAN]]+CustomerList[[#This Row],[SEMI URBAN]]+CustomerList[[#This Row],[RURAL]]</f>
        <v>101</v>
      </c>
      <c r="G14" s="66">
        <v>176</v>
      </c>
    </row>
    <row r="15" spans="1:8" ht="15" customHeight="1" x14ac:dyDescent="0.2">
      <c r="A15" s="65">
        <v>12</v>
      </c>
      <c r="B15" s="66" t="s">
        <v>63</v>
      </c>
      <c r="C15" s="66">
        <v>0</v>
      </c>
      <c r="D15" s="66">
        <v>6</v>
      </c>
      <c r="E15" s="66">
        <v>22</v>
      </c>
      <c r="F15" s="66">
        <f>CustomerList[[#This Row],[URBAN]]+CustomerList[[#This Row],[SEMI URBAN]]+CustomerList[[#This Row],[RURAL]]</f>
        <v>28</v>
      </c>
      <c r="G15" s="66">
        <v>29</v>
      </c>
    </row>
    <row r="16" spans="1:8" ht="15" customHeight="1" x14ac:dyDescent="0.2">
      <c r="A16" s="65">
        <v>13</v>
      </c>
      <c r="B16" s="66" t="s">
        <v>64</v>
      </c>
      <c r="C16" s="66">
        <v>12</v>
      </c>
      <c r="D16" s="66">
        <v>9</v>
      </c>
      <c r="E16" s="66">
        <v>40</v>
      </c>
      <c r="F16" s="66">
        <f>CustomerList[[#This Row],[URBAN]]+CustomerList[[#This Row],[SEMI URBAN]]+CustomerList[[#This Row],[RURAL]]</f>
        <v>61</v>
      </c>
      <c r="G16" s="66">
        <v>61</v>
      </c>
    </row>
    <row r="17" spans="1:7" ht="15" customHeight="1" x14ac:dyDescent="0.2">
      <c r="A17" s="65">
        <v>14</v>
      </c>
      <c r="B17" s="66" t="s">
        <v>208</v>
      </c>
      <c r="C17" s="66">
        <v>13</v>
      </c>
      <c r="D17" s="66">
        <v>14</v>
      </c>
      <c r="E17" s="66">
        <v>49</v>
      </c>
      <c r="F17" s="66">
        <f>CustomerList[[#This Row],[URBAN]]+CustomerList[[#This Row],[SEMI URBAN]]+CustomerList[[#This Row],[RURAL]]</f>
        <v>76</v>
      </c>
      <c r="G17" s="66">
        <v>83</v>
      </c>
    </row>
    <row r="18" spans="1:7" ht="15" customHeight="1" x14ac:dyDescent="0.2">
      <c r="A18" s="65">
        <v>15</v>
      </c>
      <c r="B18" s="66" t="s">
        <v>209</v>
      </c>
      <c r="C18" s="66">
        <v>9</v>
      </c>
      <c r="D18" s="66">
        <v>15</v>
      </c>
      <c r="E18" s="66">
        <v>15</v>
      </c>
      <c r="F18" s="66">
        <f>CustomerList[[#This Row],[URBAN]]+CustomerList[[#This Row],[SEMI URBAN]]+CustomerList[[#This Row],[RURAL]]</f>
        <v>39</v>
      </c>
      <c r="G18" s="66">
        <v>34</v>
      </c>
    </row>
    <row r="19" spans="1:7" ht="15" customHeight="1" x14ac:dyDescent="0.2">
      <c r="A19" s="65">
        <v>16</v>
      </c>
      <c r="B19" s="66" t="s">
        <v>65</v>
      </c>
      <c r="C19" s="66">
        <v>85</v>
      </c>
      <c r="D19" s="66">
        <v>91</v>
      </c>
      <c r="E19" s="66">
        <v>112</v>
      </c>
      <c r="F19" s="66">
        <f>CustomerList[[#This Row],[URBAN]]+CustomerList[[#This Row],[SEMI URBAN]]+CustomerList[[#This Row],[RURAL]]</f>
        <v>288</v>
      </c>
      <c r="G19" s="66">
        <v>520</v>
      </c>
    </row>
    <row r="20" spans="1:7" ht="15" customHeight="1" x14ac:dyDescent="0.2">
      <c r="A20" s="65">
        <v>17</v>
      </c>
      <c r="B20" s="66" t="s">
        <v>70</v>
      </c>
      <c r="C20" s="66">
        <v>0</v>
      </c>
      <c r="D20" s="66">
        <v>0</v>
      </c>
      <c r="E20" s="66">
        <v>5</v>
      </c>
      <c r="F20" s="66">
        <f>CustomerList[[#This Row],[URBAN]]+CustomerList[[#This Row],[SEMI URBAN]]+CustomerList[[#This Row],[RURAL]]</f>
        <v>5</v>
      </c>
      <c r="G20" s="66">
        <v>5</v>
      </c>
    </row>
    <row r="21" spans="1:7" ht="15" customHeight="1" x14ac:dyDescent="0.2">
      <c r="A21" s="65">
        <v>18</v>
      </c>
      <c r="B21" s="66" t="s">
        <v>210</v>
      </c>
      <c r="C21" s="66">
        <v>0</v>
      </c>
      <c r="D21" s="66">
        <v>0</v>
      </c>
      <c r="E21" s="66">
        <v>3</v>
      </c>
      <c r="F21" s="66">
        <f>CustomerList[[#This Row],[URBAN]]+CustomerList[[#This Row],[SEMI URBAN]]+CustomerList[[#This Row],[RURAL]]</f>
        <v>3</v>
      </c>
      <c r="G21" s="66">
        <v>3</v>
      </c>
    </row>
    <row r="22" spans="1:7" ht="15" customHeight="1" x14ac:dyDescent="0.2">
      <c r="A22" s="65">
        <v>19</v>
      </c>
      <c r="B22" s="66" t="s">
        <v>211</v>
      </c>
      <c r="C22" s="66">
        <v>0</v>
      </c>
      <c r="D22" s="66">
        <v>0</v>
      </c>
      <c r="E22" s="66">
        <v>7</v>
      </c>
      <c r="F22" s="66">
        <f>CustomerList[[#This Row],[URBAN]]+CustomerList[[#This Row],[SEMI URBAN]]+CustomerList[[#This Row],[RURAL]]</f>
        <v>7</v>
      </c>
      <c r="G22" s="66">
        <v>7</v>
      </c>
    </row>
    <row r="23" spans="1:7" ht="15" customHeight="1" x14ac:dyDescent="0.2">
      <c r="A23" s="65">
        <v>20</v>
      </c>
      <c r="B23" s="66" t="s">
        <v>212</v>
      </c>
      <c r="C23" s="66">
        <v>0</v>
      </c>
      <c r="D23" s="66">
        <v>0</v>
      </c>
      <c r="E23" s="66">
        <v>3</v>
      </c>
      <c r="F23" s="66">
        <f>CustomerList[[#This Row],[URBAN]]+CustomerList[[#This Row],[SEMI URBAN]]+CustomerList[[#This Row],[RURAL]]</f>
        <v>3</v>
      </c>
      <c r="G23" s="66">
        <v>3</v>
      </c>
    </row>
    <row r="24" spans="1:7" ht="15" customHeight="1" x14ac:dyDescent="0.2">
      <c r="A24" s="65">
        <v>21</v>
      </c>
      <c r="B24" s="66" t="s">
        <v>213</v>
      </c>
      <c r="C24" s="66">
        <v>0</v>
      </c>
      <c r="D24" s="66">
        <v>0</v>
      </c>
      <c r="E24" s="66">
        <v>9</v>
      </c>
      <c r="F24" s="66">
        <f>CustomerList[[#This Row],[URBAN]]+CustomerList[[#This Row],[SEMI URBAN]]+CustomerList[[#This Row],[RURAL]]</f>
        <v>9</v>
      </c>
      <c r="G24" s="66">
        <v>9</v>
      </c>
    </row>
    <row r="25" spans="1:7" ht="15" customHeight="1" x14ac:dyDescent="0.2">
      <c r="A25" s="65">
        <v>22</v>
      </c>
      <c r="B25" s="66" t="s">
        <v>71</v>
      </c>
      <c r="C25" s="66">
        <v>365</v>
      </c>
      <c r="D25" s="66">
        <v>361</v>
      </c>
      <c r="E25" s="66">
        <v>421</v>
      </c>
      <c r="F25" s="66">
        <f>CustomerList[[#This Row],[URBAN]]+CustomerList[[#This Row],[SEMI URBAN]]+CustomerList[[#This Row],[RURAL]]</f>
        <v>1147</v>
      </c>
      <c r="G25" s="66">
        <v>3892</v>
      </c>
    </row>
    <row r="26" spans="1:7" ht="15" customHeight="1" x14ac:dyDescent="0.2">
      <c r="A26" s="65">
        <v>23</v>
      </c>
      <c r="B26" s="66" t="s">
        <v>66</v>
      </c>
      <c r="C26" s="66">
        <v>20</v>
      </c>
      <c r="D26" s="66">
        <v>27</v>
      </c>
      <c r="E26" s="66">
        <v>55</v>
      </c>
      <c r="F26" s="66">
        <f>CustomerList[[#This Row],[URBAN]]+CustomerList[[#This Row],[SEMI URBAN]]+CustomerList[[#This Row],[RURAL]]</f>
        <v>102</v>
      </c>
      <c r="G26" s="66">
        <v>102</v>
      </c>
    </row>
    <row r="27" spans="1:7" ht="15" customHeight="1" x14ac:dyDescent="0.2">
      <c r="A27" s="65">
        <v>24</v>
      </c>
      <c r="B27" s="66" t="s">
        <v>214</v>
      </c>
      <c r="C27" s="66">
        <v>54</v>
      </c>
      <c r="D27" s="66">
        <v>44</v>
      </c>
      <c r="E27" s="66">
        <v>71</v>
      </c>
      <c r="F27" s="66">
        <f>CustomerList[[#This Row],[URBAN]]+CustomerList[[#This Row],[SEMI URBAN]]+CustomerList[[#This Row],[RURAL]]</f>
        <v>169</v>
      </c>
      <c r="G27" s="66">
        <v>170</v>
      </c>
    </row>
    <row r="28" spans="1:7" ht="15" customHeight="1" x14ac:dyDescent="0.2">
      <c r="A28" s="65">
        <v>25</v>
      </c>
      <c r="B28" s="66" t="s">
        <v>67</v>
      </c>
      <c r="C28" s="66">
        <v>105</v>
      </c>
      <c r="D28" s="66">
        <v>85</v>
      </c>
      <c r="E28" s="66">
        <v>88</v>
      </c>
      <c r="F28" s="66">
        <f>CustomerList[[#This Row],[URBAN]]+CustomerList[[#This Row],[SEMI URBAN]]+CustomerList[[#This Row],[RURAL]]</f>
        <v>278</v>
      </c>
      <c r="G28" s="66">
        <v>584</v>
      </c>
    </row>
    <row r="29" spans="1:7" ht="15" customHeight="1" x14ac:dyDescent="0.2">
      <c r="A29" s="65">
        <v>26</v>
      </c>
      <c r="B29" s="66" t="s">
        <v>68</v>
      </c>
      <c r="C29" s="66">
        <v>0</v>
      </c>
      <c r="D29" s="66">
        <v>0</v>
      </c>
      <c r="E29" s="66">
        <v>13</v>
      </c>
      <c r="F29" s="66">
        <f>CustomerList[[#This Row],[URBAN]]+CustomerList[[#This Row],[SEMI URBAN]]+CustomerList[[#This Row],[RURAL]]</f>
        <v>13</v>
      </c>
      <c r="G29" s="66">
        <v>24</v>
      </c>
    </row>
    <row r="30" spans="1:7" ht="15" customHeight="1" x14ac:dyDescent="0.2">
      <c r="A30" s="65">
        <v>27</v>
      </c>
      <c r="B30" s="66" t="s">
        <v>51</v>
      </c>
      <c r="C30" s="66">
        <v>6</v>
      </c>
      <c r="D30" s="66">
        <v>17</v>
      </c>
      <c r="E30" s="66">
        <v>33</v>
      </c>
      <c r="F30" s="66">
        <f>CustomerList[[#This Row],[URBAN]]+CustomerList[[#This Row],[SEMI URBAN]]+CustomerList[[#This Row],[RURAL]]</f>
        <v>56</v>
      </c>
      <c r="G30" s="66">
        <v>59</v>
      </c>
    </row>
    <row r="31" spans="1:7" ht="15" customHeight="1" x14ac:dyDescent="0.2">
      <c r="A31" s="255"/>
      <c r="B31" s="68" t="s">
        <v>407</v>
      </c>
      <c r="C31" s="68">
        <f>SUBTOTAL(109,C4:C30)</f>
        <v>1366</v>
      </c>
      <c r="D31" s="68">
        <f t="shared" ref="D31:G31" si="0">SUBTOTAL(109,D4:D30)</f>
        <v>1274</v>
      </c>
      <c r="E31" s="68">
        <f t="shared" si="0"/>
        <v>1580</v>
      </c>
      <c r="F31" s="68">
        <f t="shared" si="0"/>
        <v>4220</v>
      </c>
      <c r="G31" s="68">
        <f t="shared" si="0"/>
        <v>8081</v>
      </c>
    </row>
    <row r="32" spans="1:7" ht="15" customHeight="1" x14ac:dyDescent="0.2">
      <c r="A32" s="65">
        <v>28</v>
      </c>
      <c r="B32" s="66" t="s">
        <v>48</v>
      </c>
      <c r="C32" s="66">
        <v>19</v>
      </c>
      <c r="D32" s="66">
        <v>39</v>
      </c>
      <c r="E32" s="66">
        <v>66</v>
      </c>
      <c r="F32" s="66">
        <f>CustomerList[[#This Row],[URBAN]]+CustomerList[[#This Row],[SEMI URBAN]]+CustomerList[[#This Row],[RURAL]]</f>
        <v>124</v>
      </c>
      <c r="G32" s="66">
        <v>371</v>
      </c>
    </row>
    <row r="33" spans="1:7" ht="15" customHeight="1" x14ac:dyDescent="0.2">
      <c r="A33" s="65">
        <v>29</v>
      </c>
      <c r="B33" s="66" t="s">
        <v>216</v>
      </c>
      <c r="C33" s="66">
        <v>5</v>
      </c>
      <c r="D33" s="66">
        <v>7</v>
      </c>
      <c r="E33" s="66">
        <v>11</v>
      </c>
      <c r="F33" s="66">
        <f>CustomerList[[#This Row],[URBAN]]+CustomerList[[#This Row],[SEMI URBAN]]+CustomerList[[#This Row],[RURAL]]</f>
        <v>23</v>
      </c>
      <c r="G33" s="66">
        <v>13</v>
      </c>
    </row>
    <row r="34" spans="1:7" ht="15" customHeight="1" x14ac:dyDescent="0.2">
      <c r="A34" s="65">
        <v>30</v>
      </c>
      <c r="B34" s="66" t="s">
        <v>217</v>
      </c>
      <c r="C34" s="66">
        <v>0</v>
      </c>
      <c r="D34" s="66">
        <v>0</v>
      </c>
      <c r="E34" s="66">
        <v>1</v>
      </c>
      <c r="F34" s="66">
        <f>CustomerList[[#This Row],[URBAN]]+CustomerList[[#This Row],[SEMI URBAN]]+CustomerList[[#This Row],[RURAL]]</f>
        <v>1</v>
      </c>
      <c r="G34" s="66">
        <v>1</v>
      </c>
    </row>
    <row r="35" spans="1:7" ht="15" customHeight="1" x14ac:dyDescent="0.2">
      <c r="A35" s="65">
        <v>31</v>
      </c>
      <c r="B35" s="66" t="s">
        <v>79</v>
      </c>
      <c r="C35" s="66">
        <v>0</v>
      </c>
      <c r="D35" s="66">
        <v>0</v>
      </c>
      <c r="E35" s="66">
        <v>2</v>
      </c>
      <c r="F35" s="66">
        <f>CustomerList[[#This Row],[URBAN]]+CustomerList[[#This Row],[SEMI URBAN]]+CustomerList[[#This Row],[RURAL]]</f>
        <v>2</v>
      </c>
      <c r="G35" s="66">
        <v>2</v>
      </c>
    </row>
    <row r="36" spans="1:7" ht="15" customHeight="1" x14ac:dyDescent="0.2">
      <c r="A36" s="65">
        <v>32</v>
      </c>
      <c r="B36" s="66" t="s">
        <v>52</v>
      </c>
      <c r="C36" s="66">
        <v>0</v>
      </c>
      <c r="D36" s="66">
        <v>0</v>
      </c>
      <c r="E36" s="66">
        <v>2</v>
      </c>
      <c r="F36" s="66">
        <f>CustomerList[[#This Row],[URBAN]]+CustomerList[[#This Row],[SEMI URBAN]]+CustomerList[[#This Row],[RURAL]]</f>
        <v>2</v>
      </c>
      <c r="G36" s="66">
        <v>3</v>
      </c>
    </row>
    <row r="37" spans="1:7" ht="15" customHeight="1" x14ac:dyDescent="0.2">
      <c r="A37" s="65">
        <v>33</v>
      </c>
      <c r="B37" s="66" t="s">
        <v>218</v>
      </c>
      <c r="C37" s="66">
        <v>0</v>
      </c>
      <c r="D37" s="66">
        <v>0</v>
      </c>
      <c r="E37" s="66">
        <v>17</v>
      </c>
      <c r="F37" s="66">
        <f>CustomerList[[#This Row],[URBAN]]+CustomerList[[#This Row],[SEMI URBAN]]+CustomerList[[#This Row],[RURAL]]</f>
        <v>17</v>
      </c>
      <c r="G37" s="66">
        <v>17</v>
      </c>
    </row>
    <row r="38" spans="1:7" ht="15" customHeight="1" x14ac:dyDescent="0.2">
      <c r="A38" s="65">
        <v>34</v>
      </c>
      <c r="B38" s="66" t="s">
        <v>219</v>
      </c>
      <c r="C38" s="66">
        <v>0</v>
      </c>
      <c r="D38" s="66">
        <v>0</v>
      </c>
      <c r="E38" s="66">
        <v>1</v>
      </c>
      <c r="F38" s="66">
        <f>CustomerList[[#This Row],[URBAN]]+CustomerList[[#This Row],[SEMI URBAN]]+CustomerList[[#This Row],[RURAL]]</f>
        <v>1</v>
      </c>
      <c r="G38" s="66">
        <v>2</v>
      </c>
    </row>
    <row r="39" spans="1:7" ht="15" customHeight="1" x14ac:dyDescent="0.2">
      <c r="A39" s="65">
        <v>35</v>
      </c>
      <c r="B39" s="66" t="s">
        <v>220</v>
      </c>
      <c r="C39" s="66">
        <v>0</v>
      </c>
      <c r="D39" s="66">
        <v>0</v>
      </c>
      <c r="E39" s="66">
        <v>11</v>
      </c>
      <c r="F39" s="66">
        <f>CustomerList[[#This Row],[URBAN]]+CustomerList[[#This Row],[SEMI URBAN]]+CustomerList[[#This Row],[RURAL]]</f>
        <v>11</v>
      </c>
      <c r="G39" s="66">
        <v>11</v>
      </c>
    </row>
    <row r="40" spans="1:7" ht="15" customHeight="1" x14ac:dyDescent="0.2">
      <c r="A40" s="65">
        <v>36</v>
      </c>
      <c r="B40" s="66" t="s">
        <v>72</v>
      </c>
      <c r="C40" s="66">
        <v>12</v>
      </c>
      <c r="D40" s="66">
        <v>55</v>
      </c>
      <c r="E40" s="66">
        <v>63</v>
      </c>
      <c r="F40" s="66">
        <f>CustomerList[[#This Row],[URBAN]]+CustomerList[[#This Row],[SEMI URBAN]]+CustomerList[[#This Row],[RURAL]]</f>
        <v>130</v>
      </c>
      <c r="G40" s="66">
        <v>247</v>
      </c>
    </row>
    <row r="41" spans="1:7" ht="15" customHeight="1" x14ac:dyDescent="0.2">
      <c r="A41" s="65">
        <v>37</v>
      </c>
      <c r="B41" s="66" t="s">
        <v>73</v>
      </c>
      <c r="C41" s="66">
        <v>52</v>
      </c>
      <c r="D41" s="66">
        <v>76</v>
      </c>
      <c r="E41" s="66">
        <v>82</v>
      </c>
      <c r="F41" s="66">
        <f>CustomerList[[#This Row],[URBAN]]+CustomerList[[#This Row],[SEMI URBAN]]+CustomerList[[#This Row],[RURAL]]</f>
        <v>210</v>
      </c>
      <c r="G41" s="66">
        <v>368</v>
      </c>
    </row>
    <row r="42" spans="1:7" ht="15" customHeight="1" x14ac:dyDescent="0.2">
      <c r="A42" s="65">
        <v>38</v>
      </c>
      <c r="B42" s="66" t="s">
        <v>221</v>
      </c>
      <c r="C42" s="66">
        <v>16</v>
      </c>
      <c r="D42" s="66">
        <v>15</v>
      </c>
      <c r="E42" s="66">
        <v>4</v>
      </c>
      <c r="F42" s="66">
        <f>CustomerList[[#This Row],[URBAN]]+CustomerList[[#This Row],[SEMI URBAN]]+CustomerList[[#This Row],[RURAL]]</f>
        <v>35</v>
      </c>
      <c r="G42" s="66">
        <v>2</v>
      </c>
    </row>
    <row r="43" spans="1:7" ht="15" customHeight="1" x14ac:dyDescent="0.2">
      <c r="A43" s="65">
        <v>39</v>
      </c>
      <c r="B43" s="66" t="s">
        <v>222</v>
      </c>
      <c r="C43" s="66">
        <v>26</v>
      </c>
      <c r="D43" s="66">
        <v>17</v>
      </c>
      <c r="E43" s="66">
        <v>19</v>
      </c>
      <c r="F43" s="66">
        <f>CustomerList[[#This Row],[URBAN]]+CustomerList[[#This Row],[SEMI URBAN]]+CustomerList[[#This Row],[RURAL]]</f>
        <v>62</v>
      </c>
      <c r="G43" s="66">
        <v>52</v>
      </c>
    </row>
    <row r="44" spans="1:7" ht="15" customHeight="1" x14ac:dyDescent="0.2">
      <c r="A44" s="65">
        <v>40</v>
      </c>
      <c r="B44" s="66" t="s">
        <v>223</v>
      </c>
      <c r="C44" s="66">
        <v>0</v>
      </c>
      <c r="D44" s="66">
        <v>0</v>
      </c>
      <c r="E44" s="66">
        <v>2</v>
      </c>
      <c r="F44" s="66">
        <f>CustomerList[[#This Row],[URBAN]]+CustomerList[[#This Row],[SEMI URBAN]]+CustomerList[[#This Row],[RURAL]]</f>
        <v>2</v>
      </c>
      <c r="G44" s="66">
        <v>1</v>
      </c>
    </row>
    <row r="45" spans="1:7" ht="15" customHeight="1" x14ac:dyDescent="0.2">
      <c r="A45" s="65">
        <v>41</v>
      </c>
      <c r="B45" s="66" t="s">
        <v>224</v>
      </c>
      <c r="C45" s="66">
        <v>0</v>
      </c>
      <c r="D45" s="66">
        <v>0</v>
      </c>
      <c r="E45" s="66">
        <v>7</v>
      </c>
      <c r="F45" s="66">
        <f>CustomerList[[#This Row],[URBAN]]+CustomerList[[#This Row],[SEMI URBAN]]+CustomerList[[#This Row],[RURAL]]</f>
        <v>7</v>
      </c>
      <c r="G45" s="66">
        <v>9</v>
      </c>
    </row>
    <row r="46" spans="1:7" ht="15" customHeight="1" x14ac:dyDescent="0.2">
      <c r="A46" s="65">
        <v>42</v>
      </c>
      <c r="B46" s="66" t="s">
        <v>225</v>
      </c>
      <c r="C46" s="66">
        <v>0</v>
      </c>
      <c r="D46" s="66">
        <v>0</v>
      </c>
      <c r="E46" s="66">
        <v>3</v>
      </c>
      <c r="F46" s="66">
        <f>CustomerList[[#This Row],[URBAN]]+CustomerList[[#This Row],[SEMI URBAN]]+CustomerList[[#This Row],[RURAL]]</f>
        <v>3</v>
      </c>
      <c r="G46" s="66">
        <v>5</v>
      </c>
    </row>
    <row r="47" spans="1:7" ht="15" customHeight="1" x14ac:dyDescent="0.2">
      <c r="A47" s="65">
        <v>43</v>
      </c>
      <c r="B47" s="66" t="s">
        <v>74</v>
      </c>
      <c r="C47" s="66">
        <v>0</v>
      </c>
      <c r="D47" s="66">
        <v>0</v>
      </c>
      <c r="E47" s="66">
        <v>34</v>
      </c>
      <c r="F47" s="66">
        <f>CustomerList[[#This Row],[URBAN]]+CustomerList[[#This Row],[SEMI URBAN]]+CustomerList[[#This Row],[RURAL]]</f>
        <v>34</v>
      </c>
      <c r="G47" s="66">
        <v>31</v>
      </c>
    </row>
    <row r="48" spans="1:7" ht="15" customHeight="1" x14ac:dyDescent="0.2">
      <c r="A48" s="65">
        <v>44</v>
      </c>
      <c r="B48" s="66" t="s">
        <v>226</v>
      </c>
      <c r="C48" s="66">
        <v>0</v>
      </c>
      <c r="D48" s="66">
        <v>0</v>
      </c>
      <c r="E48" s="66">
        <v>4</v>
      </c>
      <c r="F48" s="66">
        <f>CustomerList[[#This Row],[URBAN]]+CustomerList[[#This Row],[SEMI URBAN]]+CustomerList[[#This Row],[RURAL]]</f>
        <v>4</v>
      </c>
      <c r="G48" s="66">
        <v>5</v>
      </c>
    </row>
    <row r="49" spans="1:7" ht="15" customHeight="1" x14ac:dyDescent="0.2">
      <c r="A49" s="65">
        <v>45</v>
      </c>
      <c r="B49" s="66" t="s">
        <v>227</v>
      </c>
      <c r="C49" s="66">
        <v>0</v>
      </c>
      <c r="D49" s="66">
        <v>0</v>
      </c>
      <c r="E49" s="66">
        <v>13</v>
      </c>
      <c r="F49" s="66">
        <f>CustomerList[[#This Row],[URBAN]]+CustomerList[[#This Row],[SEMI URBAN]]+CustomerList[[#This Row],[RURAL]]</f>
        <v>13</v>
      </c>
      <c r="G49" s="66">
        <v>13</v>
      </c>
    </row>
    <row r="50" spans="1:7" ht="15" customHeight="1" x14ac:dyDescent="0.2">
      <c r="A50" s="65">
        <v>46</v>
      </c>
      <c r="B50" s="66" t="s">
        <v>228</v>
      </c>
      <c r="C50" s="66">
        <v>0</v>
      </c>
      <c r="D50" s="66">
        <v>0</v>
      </c>
      <c r="E50" s="66">
        <v>3</v>
      </c>
      <c r="F50" s="66">
        <f>CustomerList[[#This Row],[URBAN]]+CustomerList[[#This Row],[SEMI URBAN]]+CustomerList[[#This Row],[RURAL]]</f>
        <v>3</v>
      </c>
      <c r="G50" s="66">
        <v>4</v>
      </c>
    </row>
    <row r="51" spans="1:7" ht="15" customHeight="1" x14ac:dyDescent="0.2">
      <c r="A51" s="65">
        <v>47</v>
      </c>
      <c r="B51" s="66" t="s">
        <v>78</v>
      </c>
      <c r="C51" s="66">
        <v>0</v>
      </c>
      <c r="D51" s="66">
        <v>0</v>
      </c>
      <c r="E51" s="66">
        <v>3</v>
      </c>
      <c r="F51" s="66">
        <f>CustomerList[[#This Row],[URBAN]]+CustomerList[[#This Row],[SEMI URBAN]]+CustomerList[[#This Row],[RURAL]]</f>
        <v>3</v>
      </c>
      <c r="G51" s="66">
        <v>3</v>
      </c>
    </row>
    <row r="52" spans="1:7" ht="15" customHeight="1" x14ac:dyDescent="0.2">
      <c r="A52" s="65">
        <v>48</v>
      </c>
      <c r="B52" s="66" t="s">
        <v>229</v>
      </c>
      <c r="C52" s="66">
        <v>0</v>
      </c>
      <c r="D52" s="66">
        <v>0</v>
      </c>
      <c r="E52" s="66">
        <v>3</v>
      </c>
      <c r="F52" s="66">
        <f>CustomerList[[#This Row],[URBAN]]+CustomerList[[#This Row],[SEMI URBAN]]+CustomerList[[#This Row],[RURAL]]</f>
        <v>3</v>
      </c>
      <c r="G52" s="66">
        <v>3</v>
      </c>
    </row>
    <row r="53" spans="1:7" ht="15" customHeight="1" x14ac:dyDescent="0.2">
      <c r="A53" s="65">
        <v>49</v>
      </c>
      <c r="B53" s="66" t="s">
        <v>77</v>
      </c>
      <c r="C53" s="66">
        <v>0</v>
      </c>
      <c r="D53" s="66">
        <v>0</v>
      </c>
      <c r="E53" s="66">
        <v>49</v>
      </c>
      <c r="F53" s="66">
        <f>CustomerList[[#This Row],[URBAN]]+CustomerList[[#This Row],[SEMI URBAN]]+CustomerList[[#This Row],[RURAL]]</f>
        <v>49</v>
      </c>
      <c r="G53" s="66">
        <v>22</v>
      </c>
    </row>
    <row r="54" spans="1:7" ht="15" customHeight="1" x14ac:dyDescent="0.2">
      <c r="A54" s="65"/>
      <c r="B54" s="68" t="s">
        <v>408</v>
      </c>
      <c r="C54" s="68">
        <f>SUBTOTAL(109,C32:C53)</f>
        <v>130</v>
      </c>
      <c r="D54" s="68">
        <f t="shared" ref="D54:G54" si="1">SUBTOTAL(109,D32:D53)</f>
        <v>209</v>
      </c>
      <c r="E54" s="68">
        <f t="shared" si="1"/>
        <v>400</v>
      </c>
      <c r="F54" s="68">
        <f t="shared" si="1"/>
        <v>739</v>
      </c>
      <c r="G54" s="68">
        <f t="shared" si="1"/>
        <v>1185</v>
      </c>
    </row>
    <row r="55" spans="1:7" ht="15" customHeight="1" x14ac:dyDescent="0.2">
      <c r="A55" s="65">
        <v>50</v>
      </c>
      <c r="B55" s="66" t="s">
        <v>47</v>
      </c>
      <c r="C55" s="66">
        <v>277</v>
      </c>
      <c r="D55" s="66">
        <v>134</v>
      </c>
      <c r="E55" s="66">
        <v>44</v>
      </c>
      <c r="F55" s="66">
        <f>CustomerList[[#This Row],[URBAN]]+CustomerList[[#This Row],[SEMI URBAN]]+CustomerList[[#This Row],[RURAL]]</f>
        <v>455</v>
      </c>
      <c r="G55" s="66">
        <v>0</v>
      </c>
    </row>
    <row r="56" spans="1:7" ht="15" customHeight="1" x14ac:dyDescent="0.2">
      <c r="A56" s="65">
        <v>51</v>
      </c>
      <c r="B56" s="66" t="s">
        <v>230</v>
      </c>
      <c r="C56" s="66">
        <v>330</v>
      </c>
      <c r="D56" s="66">
        <v>76</v>
      </c>
      <c r="E56" s="66">
        <v>48</v>
      </c>
      <c r="F56" s="66">
        <f>CustomerList[[#This Row],[URBAN]]+CustomerList[[#This Row],[SEMI URBAN]]+CustomerList[[#This Row],[RURAL]]</f>
        <v>454</v>
      </c>
      <c r="G56" s="66">
        <v>0</v>
      </c>
    </row>
    <row r="57" spans="1:7" ht="15" customHeight="1" x14ac:dyDescent="0.2">
      <c r="A57" s="65">
        <v>52</v>
      </c>
      <c r="B57" s="66" t="s">
        <v>53</v>
      </c>
      <c r="C57" s="66">
        <v>261</v>
      </c>
      <c r="D57" s="66">
        <v>87</v>
      </c>
      <c r="E57" s="66">
        <v>36</v>
      </c>
      <c r="F57" s="66">
        <f>CustomerList[[#This Row],[URBAN]]+CustomerList[[#This Row],[SEMI URBAN]]+CustomerList[[#This Row],[RURAL]]</f>
        <v>384</v>
      </c>
      <c r="G57" s="66">
        <v>0</v>
      </c>
    </row>
    <row r="58" spans="1:7" ht="15" customHeight="1" x14ac:dyDescent="0.2">
      <c r="A58" s="65"/>
      <c r="B58" s="68" t="s">
        <v>412</v>
      </c>
      <c r="C58" s="68">
        <f>C55+C56+C57</f>
        <v>868</v>
      </c>
      <c r="D58" s="68">
        <f t="shared" ref="D58:G58" si="2">D55+D56+D57</f>
        <v>297</v>
      </c>
      <c r="E58" s="68">
        <f t="shared" si="2"/>
        <v>128</v>
      </c>
      <c r="F58" s="68">
        <f t="shared" si="2"/>
        <v>1293</v>
      </c>
      <c r="G58" s="68">
        <f t="shared" si="2"/>
        <v>0</v>
      </c>
    </row>
    <row r="59" spans="1:7" ht="15" customHeight="1" x14ac:dyDescent="0.2">
      <c r="A59" s="65">
        <v>53</v>
      </c>
      <c r="B59" s="66" t="s">
        <v>409</v>
      </c>
      <c r="C59" s="66">
        <v>297</v>
      </c>
      <c r="D59" s="66">
        <v>470</v>
      </c>
      <c r="E59" s="66">
        <v>86</v>
      </c>
      <c r="F59" s="66">
        <f>CustomerList[[#This Row],[URBAN]]+CustomerList[[#This Row],[SEMI URBAN]]+CustomerList[[#This Row],[RURAL]]</f>
        <v>853</v>
      </c>
      <c r="G59" s="66">
        <v>0</v>
      </c>
    </row>
    <row r="60" spans="1:7" ht="15" customHeight="1" x14ac:dyDescent="0.2">
      <c r="A60" s="65"/>
      <c r="B60" s="68" t="s">
        <v>410</v>
      </c>
      <c r="C60" s="68">
        <f>C59</f>
        <v>297</v>
      </c>
      <c r="D60" s="68">
        <f t="shared" ref="D60:G60" si="3">D59</f>
        <v>470</v>
      </c>
      <c r="E60" s="68">
        <f t="shared" si="3"/>
        <v>86</v>
      </c>
      <c r="F60" s="68">
        <f t="shared" si="3"/>
        <v>853</v>
      </c>
      <c r="G60" s="68">
        <f t="shared" si="3"/>
        <v>0</v>
      </c>
    </row>
    <row r="61" spans="1:7" ht="15" customHeight="1" x14ac:dyDescent="0.2">
      <c r="A61" s="255"/>
      <c r="B61" s="68" t="s">
        <v>411</v>
      </c>
      <c r="C61" s="68">
        <f>C60+C58+C54+C31</f>
        <v>2661</v>
      </c>
      <c r="D61" s="68">
        <f t="shared" ref="D61:G61" si="4">D60+D58+D54+D31</f>
        <v>2250</v>
      </c>
      <c r="E61" s="68">
        <f t="shared" si="4"/>
        <v>2194</v>
      </c>
      <c r="F61" s="68">
        <f t="shared" si="4"/>
        <v>7105</v>
      </c>
      <c r="G61" s="68">
        <f t="shared" si="4"/>
        <v>9266</v>
      </c>
    </row>
    <row r="62" spans="1:7" ht="15" customHeight="1" x14ac:dyDescent="0.2">
      <c r="A62" s="69"/>
      <c r="B62" s="70"/>
      <c r="C62" s="71"/>
      <c r="D62" s="71"/>
      <c r="E62" s="71"/>
      <c r="F62" s="71"/>
      <c r="G62" s="71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9" type="noConversion"/>
  <conditionalFormatting sqref="A4:A62">
    <cfRule type="duplicateValues" dxfId="208" priority="96"/>
  </conditionalFormatting>
  <conditionalFormatting sqref="B4:B62">
    <cfRule type="duplicateValues" dxfId="207" priority="98"/>
  </conditionalFormatting>
  <printOptions horizontalCentered="1"/>
  <pageMargins left="0.25" right="0.25" top="0.25" bottom="0.5" header="0.3" footer="0.3"/>
  <pageSetup scale="75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3"/>
  <sheetViews>
    <sheetView zoomScaleNormal="100" workbookViewId="0">
      <pane xSplit="6" ySplit="5" topLeftCell="G54" activePane="bottomRight" state="frozen"/>
      <selection pane="topRight" activeCell="C1" sqref="C1"/>
      <selection pane="bottomLeft" activeCell="A7" sqref="A7"/>
      <selection pane="bottomRight" activeCell="K66" sqref="K66"/>
    </sheetView>
  </sheetViews>
  <sheetFormatPr defaultRowHeight="13.5" x14ac:dyDescent="0.2"/>
  <cols>
    <col min="1" max="1" width="4.42578125" style="157" customWidth="1"/>
    <col min="2" max="2" width="26.5703125" style="157" customWidth="1"/>
    <col min="3" max="4" width="11.85546875" style="162" bestFit="1" customWidth="1"/>
    <col min="5" max="5" width="10.85546875" style="162" customWidth="1"/>
    <col min="6" max="6" width="10.5703125" style="162" bestFit="1" customWidth="1"/>
    <col min="7" max="7" width="9.7109375" style="163" customWidth="1"/>
    <col min="8" max="8" width="10.5703125" style="162" customWidth="1"/>
    <col min="9" max="9" width="10.85546875" style="162" customWidth="1"/>
    <col min="10" max="10" width="10.5703125" style="162" customWidth="1"/>
    <col min="11" max="11" width="9.5703125" style="162" customWidth="1"/>
    <col min="12" max="12" width="8.28515625" style="164" customWidth="1"/>
    <col min="13" max="13" width="9.140625" style="157"/>
    <col min="14" max="14" width="10" style="157" bestFit="1" customWidth="1"/>
    <col min="15" max="16384" width="9.140625" style="157"/>
  </cols>
  <sheetData>
    <row r="1" spans="1:17" ht="15" customHeight="1" x14ac:dyDescent="0.2">
      <c r="A1" s="444" t="s">
        <v>478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7" ht="15" customHeight="1" x14ac:dyDescent="0.2">
      <c r="B2" s="159" t="s">
        <v>135</v>
      </c>
      <c r="C2" s="161"/>
      <c r="D2" s="161"/>
      <c r="I2" s="161" t="s">
        <v>166</v>
      </c>
    </row>
    <row r="3" spans="1:17" ht="15" customHeight="1" x14ac:dyDescent="0.2">
      <c r="A3" s="449" t="s">
        <v>121</v>
      </c>
      <c r="B3" s="441" t="s">
        <v>101</v>
      </c>
      <c r="C3" s="450" t="s">
        <v>43</v>
      </c>
      <c r="D3" s="450"/>
      <c r="E3" s="450"/>
      <c r="F3" s="450"/>
      <c r="G3" s="446" t="s">
        <v>159</v>
      </c>
      <c r="H3" s="445" t="s">
        <v>207</v>
      </c>
      <c r="I3" s="445"/>
      <c r="J3" s="445"/>
      <c r="K3" s="445"/>
      <c r="L3" s="446" t="s">
        <v>159</v>
      </c>
    </row>
    <row r="4" spans="1:17" ht="24.95" customHeight="1" x14ac:dyDescent="0.2">
      <c r="A4" s="449"/>
      <c r="B4" s="442"/>
      <c r="C4" s="445" t="s">
        <v>21</v>
      </c>
      <c r="D4" s="445"/>
      <c r="E4" s="445" t="s">
        <v>161</v>
      </c>
      <c r="F4" s="445"/>
      <c r="G4" s="447"/>
      <c r="H4" s="445" t="s">
        <v>21</v>
      </c>
      <c r="I4" s="445"/>
      <c r="J4" s="445" t="s">
        <v>161</v>
      </c>
      <c r="K4" s="445"/>
      <c r="L4" s="447"/>
    </row>
    <row r="5" spans="1:17" ht="15" customHeight="1" x14ac:dyDescent="0.25">
      <c r="A5" s="449"/>
      <c r="B5" s="443"/>
      <c r="C5" s="165" t="s">
        <v>125</v>
      </c>
      <c r="D5" s="165" t="s">
        <v>100</v>
      </c>
      <c r="E5" s="165" t="s">
        <v>125</v>
      </c>
      <c r="F5" s="165" t="s">
        <v>100</v>
      </c>
      <c r="G5" s="448"/>
      <c r="H5" s="165" t="s">
        <v>125</v>
      </c>
      <c r="I5" s="165" t="s">
        <v>100</v>
      </c>
      <c r="J5" s="165" t="s">
        <v>125</v>
      </c>
      <c r="K5" s="165" t="s">
        <v>100</v>
      </c>
      <c r="L5" s="448"/>
      <c r="M5" s="286"/>
      <c r="N5" s="285"/>
      <c r="O5" s="285"/>
      <c r="P5" s="285"/>
      <c r="Q5" s="285"/>
    </row>
    <row r="6" spans="1:17" ht="15" customHeight="1" x14ac:dyDescent="0.25">
      <c r="A6" s="144">
        <v>1</v>
      </c>
      <c r="B6" s="145" t="s">
        <v>56</v>
      </c>
      <c r="C6" s="97">
        <v>54074</v>
      </c>
      <c r="D6" s="97">
        <v>132297.06</v>
      </c>
      <c r="E6" s="97">
        <v>4580</v>
      </c>
      <c r="F6" s="97">
        <v>8452.8700000000008</v>
      </c>
      <c r="G6" s="98">
        <f>F6*100/D6</f>
        <v>6.3893105409901034</v>
      </c>
      <c r="H6" s="97">
        <v>46337</v>
      </c>
      <c r="I6" s="97">
        <v>102589.04</v>
      </c>
      <c r="J6" s="97">
        <v>4268</v>
      </c>
      <c r="K6" s="97">
        <v>7762.27</v>
      </c>
      <c r="L6" s="146">
        <f>K6*100/I6</f>
        <v>7.5663735619321519</v>
      </c>
      <c r="M6" s="286"/>
      <c r="N6" s="285"/>
      <c r="O6" s="285"/>
      <c r="P6" s="285"/>
      <c r="Q6" s="285"/>
    </row>
    <row r="7" spans="1:17" ht="15" customHeight="1" x14ac:dyDescent="0.25">
      <c r="A7" s="144">
        <v>2</v>
      </c>
      <c r="B7" s="145" t="s">
        <v>57</v>
      </c>
      <c r="C7" s="97">
        <v>1164</v>
      </c>
      <c r="D7" s="97">
        <v>3275.33</v>
      </c>
      <c r="E7" s="97">
        <v>760</v>
      </c>
      <c r="F7" s="97">
        <v>1699.25</v>
      </c>
      <c r="G7" s="98">
        <f t="shared" ref="G7:G63" si="0">F7*100/D7</f>
        <v>51.880268553092364</v>
      </c>
      <c r="H7" s="97">
        <v>998</v>
      </c>
      <c r="I7" s="97">
        <v>2539.84</v>
      </c>
      <c r="J7" s="97">
        <v>715</v>
      </c>
      <c r="K7" s="97">
        <v>1602.04</v>
      </c>
      <c r="L7" s="146">
        <f t="shared" ref="L7:L63" si="1">K7*100/I7</f>
        <v>63.07641426231573</v>
      </c>
      <c r="M7" s="286"/>
      <c r="N7" s="285"/>
      <c r="O7" s="285"/>
      <c r="P7" s="285"/>
      <c r="Q7" s="285"/>
    </row>
    <row r="8" spans="1:17" ht="15" customHeight="1" x14ac:dyDescent="0.25">
      <c r="A8" s="144">
        <v>3</v>
      </c>
      <c r="B8" s="145" t="s">
        <v>58</v>
      </c>
      <c r="C8" s="97">
        <v>36322</v>
      </c>
      <c r="D8" s="97">
        <v>110861.54</v>
      </c>
      <c r="E8" s="97">
        <v>19564</v>
      </c>
      <c r="F8" s="97">
        <v>46275</v>
      </c>
      <c r="G8" s="98">
        <f t="shared" si="0"/>
        <v>41.741256706338376</v>
      </c>
      <c r="H8" s="97">
        <v>31125</v>
      </c>
      <c r="I8" s="97">
        <v>85966.98</v>
      </c>
      <c r="J8" s="97">
        <v>18413</v>
      </c>
      <c r="K8" s="97">
        <v>39592</v>
      </c>
      <c r="L8" s="146">
        <f t="shared" si="1"/>
        <v>46.054892238857292</v>
      </c>
      <c r="M8" s="286"/>
      <c r="N8" s="285"/>
      <c r="O8" s="285"/>
      <c r="P8" s="285"/>
      <c r="Q8" s="285"/>
    </row>
    <row r="9" spans="1:17" ht="15" customHeight="1" x14ac:dyDescent="0.25">
      <c r="A9" s="144">
        <v>4</v>
      </c>
      <c r="B9" s="145" t="s">
        <v>59</v>
      </c>
      <c r="C9" s="97">
        <v>183600</v>
      </c>
      <c r="D9" s="97">
        <v>678059.37</v>
      </c>
      <c r="E9" s="97">
        <v>608932</v>
      </c>
      <c r="F9" s="97">
        <v>369645</v>
      </c>
      <c r="G9" s="98">
        <f t="shared" si="0"/>
        <v>54.515137811604902</v>
      </c>
      <c r="H9" s="97">
        <v>157330</v>
      </c>
      <c r="I9" s="97">
        <v>525797.43999999994</v>
      </c>
      <c r="J9" s="97">
        <v>511523</v>
      </c>
      <c r="K9" s="97">
        <v>309282</v>
      </c>
      <c r="L9" s="146">
        <f t="shared" si="1"/>
        <v>58.821511188795448</v>
      </c>
      <c r="M9" s="286"/>
      <c r="N9" s="285"/>
      <c r="O9" s="285"/>
      <c r="P9" s="285"/>
      <c r="Q9" s="285"/>
    </row>
    <row r="10" spans="1:17" ht="15" customHeight="1" x14ac:dyDescent="0.25">
      <c r="A10" s="144">
        <v>5</v>
      </c>
      <c r="B10" s="145" t="s">
        <v>60</v>
      </c>
      <c r="C10" s="97">
        <v>39084</v>
      </c>
      <c r="D10" s="97">
        <v>113663.74</v>
      </c>
      <c r="E10" s="97">
        <v>18983</v>
      </c>
      <c r="F10" s="97">
        <v>23793</v>
      </c>
      <c r="G10" s="98">
        <f t="shared" si="0"/>
        <v>20.932797037999979</v>
      </c>
      <c r="H10" s="97">
        <v>33492</v>
      </c>
      <c r="I10" s="97">
        <v>88139.94</v>
      </c>
      <c r="J10" s="97">
        <v>18789</v>
      </c>
      <c r="K10" s="97">
        <v>21789</v>
      </c>
      <c r="L10" s="146">
        <f t="shared" si="1"/>
        <v>24.720915398853233</v>
      </c>
      <c r="M10" s="286"/>
      <c r="N10" s="285"/>
      <c r="O10" s="285"/>
      <c r="P10" s="285"/>
      <c r="Q10" s="285"/>
    </row>
    <row r="11" spans="1:17" ht="15" customHeight="1" x14ac:dyDescent="0.25">
      <c r="A11" s="144">
        <v>6</v>
      </c>
      <c r="B11" s="99" t="s">
        <v>244</v>
      </c>
      <c r="C11" s="97">
        <v>15</v>
      </c>
      <c r="D11" s="97">
        <v>25</v>
      </c>
      <c r="E11" s="97">
        <v>1</v>
      </c>
      <c r="F11" s="97">
        <v>0.72</v>
      </c>
      <c r="G11" s="98">
        <f t="shared" si="0"/>
        <v>2.88</v>
      </c>
      <c r="H11" s="97">
        <v>0</v>
      </c>
      <c r="I11" s="97">
        <v>0</v>
      </c>
      <c r="J11" s="97">
        <v>0</v>
      </c>
      <c r="K11" s="97">
        <v>0</v>
      </c>
      <c r="L11" s="146">
        <v>0</v>
      </c>
      <c r="M11" s="286"/>
      <c r="N11" s="285"/>
      <c r="O11" s="285"/>
      <c r="P11" s="285"/>
      <c r="Q11" s="285"/>
    </row>
    <row r="12" spans="1:17" ht="15" customHeight="1" x14ac:dyDescent="0.25">
      <c r="A12" s="144">
        <v>7</v>
      </c>
      <c r="B12" s="145" t="s">
        <v>61</v>
      </c>
      <c r="C12" s="97">
        <v>21135</v>
      </c>
      <c r="D12" s="97">
        <v>56486.68</v>
      </c>
      <c r="E12" s="97">
        <v>17132</v>
      </c>
      <c r="F12" s="97">
        <v>26205</v>
      </c>
      <c r="G12" s="98">
        <f t="shared" si="0"/>
        <v>46.391467864636404</v>
      </c>
      <c r="H12" s="97">
        <v>18111</v>
      </c>
      <c r="I12" s="97">
        <v>43802.3</v>
      </c>
      <c r="J12" s="97">
        <v>15567</v>
      </c>
      <c r="K12" s="97">
        <v>19391</v>
      </c>
      <c r="L12" s="146">
        <f t="shared" si="1"/>
        <v>44.269364850704186</v>
      </c>
      <c r="M12" s="286"/>
      <c r="N12" s="285"/>
      <c r="O12" s="285"/>
      <c r="P12" s="285"/>
      <c r="Q12" s="285"/>
    </row>
    <row r="13" spans="1:17" ht="15" customHeight="1" x14ac:dyDescent="0.25">
      <c r="A13" s="144">
        <v>8</v>
      </c>
      <c r="B13" s="145" t="s">
        <v>62</v>
      </c>
      <c r="C13" s="97">
        <v>196359</v>
      </c>
      <c r="D13" s="97">
        <v>564434.85</v>
      </c>
      <c r="E13" s="97">
        <v>88538</v>
      </c>
      <c r="F13" s="97">
        <v>257552</v>
      </c>
      <c r="G13" s="98">
        <f t="shared" si="0"/>
        <v>45.630066959898031</v>
      </c>
      <c r="H13" s="97">
        <v>168264</v>
      </c>
      <c r="I13" s="97">
        <v>437687.94</v>
      </c>
      <c r="J13" s="97">
        <v>73698</v>
      </c>
      <c r="K13" s="97">
        <v>191593</v>
      </c>
      <c r="L13" s="146">
        <f t="shared" si="1"/>
        <v>43.773881455358357</v>
      </c>
      <c r="M13" s="286"/>
      <c r="N13" s="285"/>
      <c r="O13" s="285"/>
      <c r="P13" s="285"/>
      <c r="Q13" s="285"/>
    </row>
    <row r="14" spans="1:17" ht="15" customHeight="1" x14ac:dyDescent="0.25">
      <c r="A14" s="144">
        <v>9</v>
      </c>
      <c r="B14" s="145" t="s">
        <v>49</v>
      </c>
      <c r="C14" s="97">
        <v>4311</v>
      </c>
      <c r="D14" s="97">
        <v>13963.1</v>
      </c>
      <c r="E14" s="97">
        <v>2430</v>
      </c>
      <c r="F14" s="97">
        <v>43399</v>
      </c>
      <c r="G14" s="98">
        <f t="shared" si="0"/>
        <v>310.81206895316944</v>
      </c>
      <c r="H14" s="97">
        <v>3694</v>
      </c>
      <c r="I14" s="97">
        <v>10827.62</v>
      </c>
      <c r="J14" s="97">
        <v>1250</v>
      </c>
      <c r="K14" s="97">
        <v>11525</v>
      </c>
      <c r="L14" s="146">
        <f t="shared" si="1"/>
        <v>106.44075059893125</v>
      </c>
      <c r="M14" s="286"/>
      <c r="N14" s="285"/>
      <c r="O14" s="285"/>
      <c r="P14" s="285"/>
      <c r="Q14" s="285"/>
    </row>
    <row r="15" spans="1:17" ht="15" customHeight="1" x14ac:dyDescent="0.25">
      <c r="A15" s="144">
        <v>10</v>
      </c>
      <c r="B15" s="145" t="s">
        <v>50</v>
      </c>
      <c r="C15" s="97">
        <v>11344</v>
      </c>
      <c r="D15" s="97">
        <v>39277.339999999997</v>
      </c>
      <c r="E15" s="97">
        <v>2422</v>
      </c>
      <c r="F15" s="97">
        <v>6194</v>
      </c>
      <c r="G15" s="98">
        <f t="shared" si="0"/>
        <v>15.769907025272079</v>
      </c>
      <c r="H15" s="97">
        <v>9722</v>
      </c>
      <c r="I15" s="97">
        <v>30457.4</v>
      </c>
      <c r="J15" s="97">
        <v>2316</v>
      </c>
      <c r="K15" s="97">
        <v>5861</v>
      </c>
      <c r="L15" s="146">
        <f t="shared" si="1"/>
        <v>19.243270929232303</v>
      </c>
      <c r="M15" s="286"/>
      <c r="N15" s="285"/>
      <c r="O15" s="285"/>
      <c r="P15" s="285"/>
      <c r="Q15" s="285"/>
    </row>
    <row r="16" spans="1:17" ht="15" customHeight="1" x14ac:dyDescent="0.25">
      <c r="A16" s="144">
        <v>11</v>
      </c>
      <c r="B16" s="145" t="s">
        <v>82</v>
      </c>
      <c r="C16" s="97">
        <v>7630</v>
      </c>
      <c r="D16" s="97">
        <v>22892.94</v>
      </c>
      <c r="E16" s="97">
        <v>9583</v>
      </c>
      <c r="F16" s="97">
        <v>19263</v>
      </c>
      <c r="G16" s="98">
        <f t="shared" si="0"/>
        <v>84.143845220404202</v>
      </c>
      <c r="H16" s="97">
        <v>6538</v>
      </c>
      <c r="I16" s="97">
        <v>17752.2</v>
      </c>
      <c r="J16" s="97">
        <v>4730</v>
      </c>
      <c r="K16" s="97">
        <v>9468</v>
      </c>
      <c r="L16" s="146">
        <f t="shared" si="1"/>
        <v>53.334234630074015</v>
      </c>
      <c r="M16" s="286"/>
      <c r="N16" s="285"/>
      <c r="O16" s="285"/>
      <c r="P16" s="285"/>
      <c r="Q16" s="285"/>
    </row>
    <row r="17" spans="1:17" ht="15" customHeight="1" x14ac:dyDescent="0.25">
      <c r="A17" s="144">
        <v>12</v>
      </c>
      <c r="B17" s="145" t="s">
        <v>63</v>
      </c>
      <c r="C17" s="97">
        <v>3329</v>
      </c>
      <c r="D17" s="97">
        <v>11227.65</v>
      </c>
      <c r="E17" s="97">
        <v>2530</v>
      </c>
      <c r="F17" s="97">
        <v>4115</v>
      </c>
      <c r="G17" s="98">
        <f t="shared" si="0"/>
        <v>36.650590283808278</v>
      </c>
      <c r="H17" s="97">
        <v>2854</v>
      </c>
      <c r="I17" s="97">
        <v>8706.42</v>
      </c>
      <c r="J17" s="97">
        <v>1886</v>
      </c>
      <c r="K17" s="97">
        <v>3070</v>
      </c>
      <c r="L17" s="146">
        <f t="shared" si="1"/>
        <v>35.261335887770173</v>
      </c>
      <c r="M17" s="286"/>
      <c r="N17" s="285"/>
      <c r="O17" s="285"/>
      <c r="P17" s="285"/>
      <c r="Q17" s="285"/>
    </row>
    <row r="18" spans="1:17" ht="15" customHeight="1" x14ac:dyDescent="0.25">
      <c r="A18" s="144">
        <v>13</v>
      </c>
      <c r="B18" s="145" t="s">
        <v>64</v>
      </c>
      <c r="C18" s="97">
        <v>3884</v>
      </c>
      <c r="D18" s="97">
        <v>10855.43</v>
      </c>
      <c r="E18" s="97">
        <v>1864</v>
      </c>
      <c r="F18" s="97">
        <v>3840</v>
      </c>
      <c r="G18" s="98">
        <f t="shared" si="0"/>
        <v>35.374001766857688</v>
      </c>
      <c r="H18" s="97">
        <v>3328</v>
      </c>
      <c r="I18" s="97">
        <v>8417.7800000000007</v>
      </c>
      <c r="J18" s="97">
        <v>1556</v>
      </c>
      <c r="K18" s="97">
        <v>3296</v>
      </c>
      <c r="L18" s="146">
        <f t="shared" si="1"/>
        <v>39.155216696088516</v>
      </c>
      <c r="M18" s="286"/>
      <c r="N18" s="285"/>
      <c r="O18" s="285"/>
      <c r="P18" s="285"/>
      <c r="Q18" s="285"/>
    </row>
    <row r="19" spans="1:17" ht="15" customHeight="1" x14ac:dyDescent="0.25">
      <c r="A19" s="144">
        <v>14</v>
      </c>
      <c r="B19" s="100" t="s">
        <v>208</v>
      </c>
      <c r="C19" s="97">
        <v>13936</v>
      </c>
      <c r="D19" s="97">
        <v>44640.09</v>
      </c>
      <c r="E19" s="97">
        <v>4069</v>
      </c>
      <c r="F19" s="97">
        <v>9991.85</v>
      </c>
      <c r="G19" s="98">
        <f t="shared" si="0"/>
        <v>22.383131396016452</v>
      </c>
      <c r="H19" s="97">
        <v>11942</v>
      </c>
      <c r="I19" s="97">
        <v>34615.919999999998</v>
      </c>
      <c r="J19" s="97">
        <v>3662</v>
      </c>
      <c r="K19" s="97">
        <v>8375.5</v>
      </c>
      <c r="L19" s="146">
        <f t="shared" si="1"/>
        <v>24.195514664928741</v>
      </c>
      <c r="M19" s="286"/>
      <c r="N19" s="285"/>
      <c r="O19" s="285"/>
      <c r="P19" s="285"/>
      <c r="Q19" s="285"/>
    </row>
    <row r="20" spans="1:17" ht="15" customHeight="1" x14ac:dyDescent="0.25">
      <c r="A20" s="144">
        <v>15</v>
      </c>
      <c r="B20" s="145" t="s">
        <v>209</v>
      </c>
      <c r="C20" s="97">
        <v>6145</v>
      </c>
      <c r="D20" s="97">
        <v>20050.099999999999</v>
      </c>
      <c r="E20" s="97">
        <v>383</v>
      </c>
      <c r="F20" s="97">
        <v>790.02</v>
      </c>
      <c r="G20" s="98">
        <f t="shared" si="0"/>
        <v>3.9402297245400275</v>
      </c>
      <c r="H20" s="97">
        <v>5266</v>
      </c>
      <c r="I20" s="97">
        <v>15547.74</v>
      </c>
      <c r="J20" s="97">
        <v>311</v>
      </c>
      <c r="K20" s="97">
        <v>572.23</v>
      </c>
      <c r="L20" s="146">
        <f t="shared" si="1"/>
        <v>3.6804706021582558</v>
      </c>
      <c r="M20" s="286"/>
      <c r="N20" s="285"/>
      <c r="O20" s="285"/>
      <c r="P20" s="285"/>
      <c r="Q20" s="285"/>
    </row>
    <row r="21" spans="1:17" ht="15" customHeight="1" x14ac:dyDescent="0.25">
      <c r="A21" s="144">
        <v>16</v>
      </c>
      <c r="B21" s="145" t="s">
        <v>65</v>
      </c>
      <c r="C21" s="97">
        <v>78576</v>
      </c>
      <c r="D21" s="97">
        <v>254603.81</v>
      </c>
      <c r="E21" s="97">
        <v>59981</v>
      </c>
      <c r="F21" s="97">
        <v>140626</v>
      </c>
      <c r="G21" s="98">
        <f t="shared" si="0"/>
        <v>55.233266147902498</v>
      </c>
      <c r="H21" s="97">
        <v>67334</v>
      </c>
      <c r="I21" s="97">
        <v>197431.14</v>
      </c>
      <c r="J21" s="97">
        <v>59781</v>
      </c>
      <c r="K21" s="97">
        <v>104084</v>
      </c>
      <c r="L21" s="146">
        <f t="shared" si="1"/>
        <v>52.719140455755863</v>
      </c>
      <c r="M21" s="286"/>
      <c r="N21" s="285"/>
      <c r="O21" s="285"/>
      <c r="P21" s="285"/>
      <c r="Q21" s="285"/>
    </row>
    <row r="22" spans="1:17" ht="15" customHeight="1" x14ac:dyDescent="0.25">
      <c r="A22" s="144">
        <v>17</v>
      </c>
      <c r="B22" s="145" t="s">
        <v>70</v>
      </c>
      <c r="C22" s="97">
        <v>65</v>
      </c>
      <c r="D22" s="97">
        <v>223.17</v>
      </c>
      <c r="E22" s="97">
        <v>0</v>
      </c>
      <c r="F22" s="97">
        <v>0</v>
      </c>
      <c r="G22" s="98">
        <f t="shared" si="0"/>
        <v>0</v>
      </c>
      <c r="H22" s="97">
        <v>56</v>
      </c>
      <c r="I22" s="97">
        <v>173.06</v>
      </c>
      <c r="J22" s="97">
        <v>0</v>
      </c>
      <c r="K22" s="97">
        <v>0</v>
      </c>
      <c r="L22" s="146">
        <f t="shared" si="1"/>
        <v>0</v>
      </c>
      <c r="M22" s="286"/>
      <c r="N22" s="285"/>
      <c r="O22" s="285"/>
      <c r="P22" s="285"/>
      <c r="Q22" s="285"/>
    </row>
    <row r="23" spans="1:17" ht="15" customHeight="1" x14ac:dyDescent="0.25">
      <c r="A23" s="144">
        <v>18</v>
      </c>
      <c r="B23" s="145" t="s">
        <v>210</v>
      </c>
      <c r="C23" s="97">
        <v>28</v>
      </c>
      <c r="D23" s="97">
        <v>126.06</v>
      </c>
      <c r="E23" s="97">
        <v>0</v>
      </c>
      <c r="F23" s="97">
        <v>0</v>
      </c>
      <c r="G23" s="98">
        <f t="shared" si="0"/>
        <v>0</v>
      </c>
      <c r="H23" s="97">
        <v>24</v>
      </c>
      <c r="I23" s="97">
        <v>97.76</v>
      </c>
      <c r="J23" s="97">
        <v>0</v>
      </c>
      <c r="K23" s="97">
        <v>0</v>
      </c>
      <c r="L23" s="146">
        <f t="shared" si="1"/>
        <v>0</v>
      </c>
      <c r="M23" s="286"/>
      <c r="N23" s="285"/>
      <c r="O23" s="285"/>
      <c r="P23" s="285"/>
      <c r="Q23" s="285"/>
    </row>
    <row r="24" spans="1:17" ht="15" customHeight="1" x14ac:dyDescent="0.25">
      <c r="A24" s="144">
        <v>19</v>
      </c>
      <c r="B24" s="145" t="s">
        <v>211</v>
      </c>
      <c r="C24" s="103">
        <v>321</v>
      </c>
      <c r="D24" s="103">
        <v>638.35</v>
      </c>
      <c r="E24" s="97">
        <v>0</v>
      </c>
      <c r="F24" s="97">
        <v>0</v>
      </c>
      <c r="G24" s="98">
        <f t="shared" si="0"/>
        <v>0</v>
      </c>
      <c r="H24" s="103">
        <v>275</v>
      </c>
      <c r="I24" s="103">
        <v>495</v>
      </c>
      <c r="J24" s="97">
        <v>0</v>
      </c>
      <c r="K24" s="97">
        <v>0</v>
      </c>
      <c r="L24" s="146">
        <f t="shared" si="1"/>
        <v>0</v>
      </c>
      <c r="M24" s="286"/>
      <c r="N24" s="285"/>
      <c r="O24" s="285"/>
      <c r="P24" s="285"/>
      <c r="Q24" s="285"/>
    </row>
    <row r="25" spans="1:17" ht="15" customHeight="1" x14ac:dyDescent="0.25">
      <c r="A25" s="144">
        <v>20</v>
      </c>
      <c r="B25" s="99" t="s">
        <v>212</v>
      </c>
      <c r="C25" s="97">
        <v>125</v>
      </c>
      <c r="D25" s="97">
        <v>435.81</v>
      </c>
      <c r="E25" s="97">
        <v>4</v>
      </c>
      <c r="F25" s="97">
        <v>140</v>
      </c>
      <c r="G25" s="98">
        <f t="shared" si="0"/>
        <v>32.124090773502218</v>
      </c>
      <c r="H25" s="97">
        <v>107</v>
      </c>
      <c r="I25" s="97">
        <v>337.95</v>
      </c>
      <c r="J25" s="97">
        <v>0</v>
      </c>
      <c r="K25" s="97">
        <v>0</v>
      </c>
      <c r="L25" s="146">
        <f t="shared" si="1"/>
        <v>0</v>
      </c>
      <c r="M25" s="286"/>
      <c r="N25" s="285"/>
      <c r="O25" s="285"/>
      <c r="P25" s="285"/>
      <c r="Q25" s="285"/>
    </row>
    <row r="26" spans="1:17" ht="15" customHeight="1" x14ac:dyDescent="0.25">
      <c r="A26" s="144">
        <v>21</v>
      </c>
      <c r="B26" s="145" t="s">
        <v>213</v>
      </c>
      <c r="C26" s="97">
        <v>759</v>
      </c>
      <c r="D26" s="97">
        <v>2920.9</v>
      </c>
      <c r="E26" s="381">
        <v>293</v>
      </c>
      <c r="F26" s="381">
        <v>688</v>
      </c>
      <c r="G26" s="98">
        <f t="shared" si="0"/>
        <v>23.554383922763531</v>
      </c>
      <c r="H26" s="97">
        <v>650</v>
      </c>
      <c r="I26" s="97">
        <v>2264.98</v>
      </c>
      <c r="J26" s="162">
        <v>0</v>
      </c>
      <c r="K26" s="162">
        <v>0</v>
      </c>
      <c r="L26" s="146">
        <f t="shared" si="1"/>
        <v>0</v>
      </c>
      <c r="M26" s="286"/>
      <c r="N26" s="285"/>
      <c r="O26" s="285"/>
      <c r="P26" s="285"/>
      <c r="Q26" s="285"/>
    </row>
    <row r="27" spans="1:17" ht="15" customHeight="1" x14ac:dyDescent="0.25">
      <c r="A27" s="144">
        <v>22</v>
      </c>
      <c r="B27" s="145" t="s">
        <v>71</v>
      </c>
      <c r="C27" s="103">
        <v>579118</v>
      </c>
      <c r="D27" s="103">
        <f>1846958-714.54</f>
        <v>1846243.46</v>
      </c>
      <c r="E27" s="103">
        <v>279238</v>
      </c>
      <c r="F27" s="103">
        <v>544687</v>
      </c>
      <c r="G27" s="98">
        <f t="shared" si="0"/>
        <v>29.502447093299384</v>
      </c>
      <c r="H27" s="103">
        <v>496258</v>
      </c>
      <c r="I27" s="103">
        <v>1432213.84</v>
      </c>
      <c r="J27" s="103">
        <v>235417</v>
      </c>
      <c r="K27" s="103">
        <v>495764</v>
      </c>
      <c r="L27" s="146">
        <f t="shared" si="1"/>
        <v>34.615221983890336</v>
      </c>
      <c r="M27" s="286"/>
      <c r="N27" s="285"/>
      <c r="O27" s="285"/>
      <c r="P27" s="285"/>
      <c r="Q27" s="285"/>
    </row>
    <row r="28" spans="1:17" ht="15" customHeight="1" x14ac:dyDescent="0.25">
      <c r="A28" s="144">
        <v>23</v>
      </c>
      <c r="B28" s="100" t="s">
        <v>66</v>
      </c>
      <c r="C28" s="97">
        <v>15374</v>
      </c>
      <c r="D28" s="97">
        <v>39813.050000000003</v>
      </c>
      <c r="E28" s="97">
        <v>8284</v>
      </c>
      <c r="F28" s="97">
        <v>12159</v>
      </c>
      <c r="G28" s="98">
        <f t="shared" si="0"/>
        <v>30.540237434710477</v>
      </c>
      <c r="H28" s="97">
        <v>13174</v>
      </c>
      <c r="I28" s="97">
        <v>30872.82</v>
      </c>
      <c r="J28" s="97">
        <v>9370</v>
      </c>
      <c r="K28" s="381">
        <v>8685</v>
      </c>
      <c r="L28" s="146">
        <f t="shared" si="1"/>
        <v>28.131540947668533</v>
      </c>
      <c r="M28" s="286"/>
      <c r="N28" s="285"/>
      <c r="O28" s="285"/>
      <c r="P28" s="285"/>
      <c r="Q28" s="285"/>
    </row>
    <row r="29" spans="1:17" ht="15" customHeight="1" x14ac:dyDescent="0.25">
      <c r="A29" s="144">
        <v>24</v>
      </c>
      <c r="B29" s="66" t="s">
        <v>214</v>
      </c>
      <c r="C29" s="97">
        <v>41458</v>
      </c>
      <c r="D29" s="97">
        <v>131290.79999999999</v>
      </c>
      <c r="E29" s="97">
        <v>2428</v>
      </c>
      <c r="F29" s="97">
        <v>5843.8</v>
      </c>
      <c r="G29" s="98">
        <f t="shared" si="0"/>
        <v>4.4510354114682826</v>
      </c>
      <c r="H29" s="97">
        <v>35526</v>
      </c>
      <c r="I29" s="97">
        <v>101808.74</v>
      </c>
      <c r="J29" s="97">
        <v>2407</v>
      </c>
      <c r="K29" s="97">
        <v>5739.95</v>
      </c>
      <c r="L29" s="146">
        <f t="shared" si="1"/>
        <v>5.6379737142410367</v>
      </c>
      <c r="M29" s="286"/>
      <c r="N29" s="285"/>
      <c r="O29" s="285"/>
      <c r="P29" s="285"/>
      <c r="Q29" s="285"/>
    </row>
    <row r="30" spans="1:17" ht="15" customHeight="1" x14ac:dyDescent="0.25">
      <c r="A30" s="144">
        <v>25</v>
      </c>
      <c r="B30" s="101" t="s">
        <v>67</v>
      </c>
      <c r="C30" s="97">
        <v>88914</v>
      </c>
      <c r="D30" s="97">
        <v>210100.66</v>
      </c>
      <c r="E30" s="97">
        <v>13658</v>
      </c>
      <c r="F30" s="97">
        <v>97178.02</v>
      </c>
      <c r="G30" s="98">
        <f t="shared" si="0"/>
        <v>46.253076977483076</v>
      </c>
      <c r="H30" s="97">
        <v>76192</v>
      </c>
      <c r="I30" s="97">
        <v>162921.41</v>
      </c>
      <c r="J30" s="97">
        <v>11243</v>
      </c>
      <c r="K30" s="97">
        <v>85320.09</v>
      </c>
      <c r="L30" s="146">
        <f t="shared" si="1"/>
        <v>52.368862999651178</v>
      </c>
      <c r="M30" s="286"/>
      <c r="N30" s="285"/>
      <c r="O30" s="285"/>
      <c r="P30" s="285"/>
      <c r="Q30" s="285"/>
    </row>
    <row r="31" spans="1:17" ht="15" x14ac:dyDescent="0.25">
      <c r="A31" s="144">
        <v>26</v>
      </c>
      <c r="B31" s="145" t="s">
        <v>68</v>
      </c>
      <c r="C31" s="97">
        <v>1018</v>
      </c>
      <c r="D31" s="97">
        <v>2703.56</v>
      </c>
      <c r="E31" s="97">
        <v>1018</v>
      </c>
      <c r="F31" s="97">
        <v>1212</v>
      </c>
      <c r="G31" s="98">
        <f t="shared" si="0"/>
        <v>44.829779993785969</v>
      </c>
      <c r="H31" s="97">
        <v>872</v>
      </c>
      <c r="I31" s="97">
        <v>2096.46</v>
      </c>
      <c r="J31" s="97">
        <v>3570</v>
      </c>
      <c r="K31" s="97">
        <v>1112</v>
      </c>
      <c r="L31" s="146">
        <f t="shared" si="1"/>
        <v>53.041794262709516</v>
      </c>
      <c r="M31" s="286"/>
      <c r="N31" s="285">
        <v>1392254</v>
      </c>
      <c r="O31" s="285">
        <v>4324971.209999999</v>
      </c>
      <c r="P31" s="285">
        <v>1149348</v>
      </c>
      <c r="Q31" s="285">
        <v>1627288.53</v>
      </c>
    </row>
    <row r="32" spans="1:17" ht="15" customHeight="1" x14ac:dyDescent="0.25">
      <c r="A32" s="144">
        <v>27</v>
      </c>
      <c r="B32" s="145" t="s">
        <v>51</v>
      </c>
      <c r="C32" s="97">
        <v>4166</v>
      </c>
      <c r="D32" s="97">
        <v>13146.41</v>
      </c>
      <c r="E32" s="97">
        <v>2673</v>
      </c>
      <c r="F32" s="97">
        <v>3539</v>
      </c>
      <c r="G32" s="98">
        <f t="shared" si="0"/>
        <v>26.919896762690346</v>
      </c>
      <c r="H32" s="97">
        <v>3570</v>
      </c>
      <c r="I32" s="97">
        <v>10194.32</v>
      </c>
      <c r="J32" s="97">
        <v>2435</v>
      </c>
      <c r="K32" s="97">
        <v>3414</v>
      </c>
      <c r="L32" s="146">
        <f t="shared" si="1"/>
        <v>33.489237143821263</v>
      </c>
      <c r="M32" s="286"/>
      <c r="N32" s="285"/>
      <c r="O32" s="285"/>
      <c r="P32" s="285"/>
      <c r="Q32" s="285"/>
    </row>
    <row r="33" spans="1:18" s="159" customFormat="1" ht="15" customHeight="1" x14ac:dyDescent="0.2">
      <c r="A33" s="147"/>
      <c r="B33" s="148" t="s">
        <v>215</v>
      </c>
      <c r="C33" s="102">
        <f>SUM(C6:C32)</f>
        <v>1392254</v>
      </c>
      <c r="D33" s="102">
        <f t="shared" ref="D33:K33" si="2">SUM(D6:D32)</f>
        <v>4324256.26</v>
      </c>
      <c r="E33" s="102">
        <f t="shared" si="2"/>
        <v>1149348</v>
      </c>
      <c r="F33" s="102">
        <f t="shared" si="2"/>
        <v>1627288.53</v>
      </c>
      <c r="G33" s="98">
        <f t="shared" si="0"/>
        <v>37.631639573552931</v>
      </c>
      <c r="H33" s="102">
        <f t="shared" si="2"/>
        <v>1193039</v>
      </c>
      <c r="I33" s="102">
        <f t="shared" si="2"/>
        <v>3353756.04</v>
      </c>
      <c r="J33" s="102">
        <f t="shared" si="2"/>
        <v>982907</v>
      </c>
      <c r="K33" s="102">
        <f t="shared" si="2"/>
        <v>1337298.08</v>
      </c>
      <c r="L33" s="146">
        <f t="shared" si="1"/>
        <v>39.874637989470457</v>
      </c>
    </row>
    <row r="34" spans="1:18" ht="15" customHeight="1" x14ac:dyDescent="0.2">
      <c r="A34" s="144">
        <v>28</v>
      </c>
      <c r="B34" s="145" t="s">
        <v>48</v>
      </c>
      <c r="C34" s="97">
        <v>22872</v>
      </c>
      <c r="D34" s="97">
        <v>65152.83</v>
      </c>
      <c r="E34" s="97">
        <v>34251</v>
      </c>
      <c r="F34" s="97">
        <v>19554.75</v>
      </c>
      <c r="G34" s="98">
        <f t="shared" si="0"/>
        <v>30.013661724287338</v>
      </c>
      <c r="H34" s="97">
        <v>19599</v>
      </c>
      <c r="I34" s="97">
        <v>50522.400000000001</v>
      </c>
      <c r="J34" s="97">
        <v>527</v>
      </c>
      <c r="K34" s="97">
        <v>1826.81</v>
      </c>
      <c r="L34" s="146">
        <f t="shared" si="1"/>
        <v>3.615841686064003</v>
      </c>
    </row>
    <row r="35" spans="1:18" ht="15" customHeight="1" x14ac:dyDescent="0.2">
      <c r="A35" s="144">
        <v>29</v>
      </c>
      <c r="B35" s="145" t="s">
        <v>216</v>
      </c>
      <c r="C35" s="97">
        <v>695</v>
      </c>
      <c r="D35" s="97">
        <v>516.98</v>
      </c>
      <c r="E35" s="97">
        <v>3485</v>
      </c>
      <c r="F35" s="97">
        <v>1254</v>
      </c>
      <c r="G35" s="98">
        <f t="shared" si="0"/>
        <v>242.56257495454369</v>
      </c>
      <c r="H35" s="97">
        <v>652</v>
      </c>
      <c r="I35" s="97">
        <v>387.1</v>
      </c>
      <c r="J35" s="97">
        <v>0</v>
      </c>
      <c r="K35" s="97">
        <v>0</v>
      </c>
      <c r="L35" s="146">
        <f t="shared" si="1"/>
        <v>0</v>
      </c>
    </row>
    <row r="36" spans="1:18" ht="15" customHeight="1" x14ac:dyDescent="0.2">
      <c r="A36" s="144">
        <v>30</v>
      </c>
      <c r="B36" s="108" t="s">
        <v>217</v>
      </c>
      <c r="C36" s="97">
        <v>0</v>
      </c>
      <c r="D36" s="97">
        <v>0</v>
      </c>
      <c r="E36" s="97">
        <v>0</v>
      </c>
      <c r="F36" s="97">
        <v>0</v>
      </c>
      <c r="G36" s="98">
        <v>0</v>
      </c>
      <c r="H36" s="97">
        <v>0</v>
      </c>
      <c r="I36" s="97">
        <v>0</v>
      </c>
      <c r="J36" s="97">
        <v>0</v>
      </c>
      <c r="K36" s="97">
        <v>0</v>
      </c>
      <c r="L36" s="146">
        <v>0</v>
      </c>
    </row>
    <row r="37" spans="1:18" ht="15" customHeight="1" x14ac:dyDescent="0.2">
      <c r="A37" s="144">
        <v>31</v>
      </c>
      <c r="B37" s="108" t="s">
        <v>79</v>
      </c>
      <c r="C37" s="97">
        <v>0</v>
      </c>
      <c r="D37" s="97">
        <v>0</v>
      </c>
      <c r="E37" s="97">
        <v>0</v>
      </c>
      <c r="F37" s="97">
        <v>0</v>
      </c>
      <c r="G37" s="98">
        <v>0</v>
      </c>
      <c r="H37" s="97">
        <v>0</v>
      </c>
      <c r="I37" s="97">
        <v>0</v>
      </c>
      <c r="J37" s="97">
        <v>0</v>
      </c>
      <c r="K37" s="97">
        <v>0</v>
      </c>
      <c r="L37" s="146">
        <v>0</v>
      </c>
    </row>
    <row r="38" spans="1:18" ht="15" customHeight="1" x14ac:dyDescent="0.2">
      <c r="A38" s="144">
        <v>32</v>
      </c>
      <c r="B38" s="145" t="s">
        <v>52</v>
      </c>
      <c r="C38" s="97">
        <v>0</v>
      </c>
      <c r="D38" s="97">
        <v>0</v>
      </c>
      <c r="E38" s="97">
        <v>0</v>
      </c>
      <c r="F38" s="97">
        <v>0</v>
      </c>
      <c r="G38" s="98">
        <v>0</v>
      </c>
      <c r="H38" s="97">
        <v>0</v>
      </c>
      <c r="I38" s="97">
        <v>0</v>
      </c>
      <c r="J38" s="97">
        <v>0</v>
      </c>
      <c r="K38" s="97">
        <v>0</v>
      </c>
      <c r="L38" s="146">
        <v>0</v>
      </c>
    </row>
    <row r="39" spans="1:18" ht="15" customHeight="1" x14ac:dyDescent="0.2">
      <c r="A39" s="144">
        <v>33</v>
      </c>
      <c r="B39" s="145" t="s">
        <v>218</v>
      </c>
      <c r="C39" s="97">
        <v>401</v>
      </c>
      <c r="D39" s="97">
        <v>873.08</v>
      </c>
      <c r="E39" s="97">
        <v>0</v>
      </c>
      <c r="F39" s="97">
        <v>0</v>
      </c>
      <c r="G39" s="98">
        <f t="shared" si="0"/>
        <v>0</v>
      </c>
      <c r="H39" s="97">
        <v>344</v>
      </c>
      <c r="I39" s="97">
        <v>677.02</v>
      </c>
      <c r="J39" s="97">
        <v>0</v>
      </c>
      <c r="K39" s="97">
        <v>0</v>
      </c>
      <c r="L39" s="146">
        <f t="shared" si="1"/>
        <v>0</v>
      </c>
    </row>
    <row r="40" spans="1:18" ht="15" customHeight="1" x14ac:dyDescent="0.25">
      <c r="A40" s="144">
        <v>34</v>
      </c>
      <c r="B40" s="128" t="s">
        <v>219</v>
      </c>
      <c r="C40" s="97">
        <v>28</v>
      </c>
      <c r="D40" s="97">
        <v>126.06</v>
      </c>
      <c r="E40" s="97">
        <v>0</v>
      </c>
      <c r="F40" s="97">
        <v>0</v>
      </c>
      <c r="G40" s="98">
        <f t="shared" si="0"/>
        <v>0</v>
      </c>
      <c r="H40" s="97">
        <v>24</v>
      </c>
      <c r="I40" s="97">
        <v>97.75</v>
      </c>
      <c r="J40" s="97">
        <v>0</v>
      </c>
      <c r="K40" s="97">
        <v>0</v>
      </c>
      <c r="L40" s="146">
        <f t="shared" si="1"/>
        <v>0</v>
      </c>
      <c r="N40" s="286"/>
      <c r="O40" s="285"/>
      <c r="P40" s="285"/>
      <c r="Q40" s="285"/>
      <c r="R40" s="285"/>
    </row>
    <row r="41" spans="1:18" ht="15" customHeight="1" x14ac:dyDescent="0.25">
      <c r="A41" s="144">
        <v>35</v>
      </c>
      <c r="B41" s="128" t="s">
        <v>220</v>
      </c>
      <c r="C41" s="97">
        <v>672</v>
      </c>
      <c r="D41" s="97">
        <v>2736.89</v>
      </c>
      <c r="E41" s="97">
        <v>1403</v>
      </c>
      <c r="F41" s="97">
        <v>2448.5</v>
      </c>
      <c r="G41" s="98">
        <f t="shared" si="0"/>
        <v>89.462857476917236</v>
      </c>
      <c r="H41" s="97">
        <v>576</v>
      </c>
      <c r="I41" s="97">
        <v>2122.3200000000002</v>
      </c>
      <c r="J41" s="97">
        <v>1355</v>
      </c>
      <c r="K41" s="97">
        <v>1807.36</v>
      </c>
      <c r="L41" s="146">
        <f t="shared" si="1"/>
        <v>85.159636624071766</v>
      </c>
      <c r="N41" s="286"/>
      <c r="O41" s="285"/>
      <c r="P41" s="285"/>
      <c r="Q41" s="285"/>
      <c r="R41" s="285"/>
    </row>
    <row r="42" spans="1:18" ht="15" customHeight="1" x14ac:dyDescent="0.25">
      <c r="A42" s="144">
        <v>36</v>
      </c>
      <c r="B42" s="128" t="s">
        <v>72</v>
      </c>
      <c r="C42" s="97">
        <v>29526</v>
      </c>
      <c r="D42" s="97">
        <v>110428.58</v>
      </c>
      <c r="E42" s="97">
        <v>26540</v>
      </c>
      <c r="F42" s="97">
        <v>91182</v>
      </c>
      <c r="G42" s="98">
        <f t="shared" si="0"/>
        <v>82.571015583103573</v>
      </c>
      <c r="H42" s="97">
        <v>25301</v>
      </c>
      <c r="I42" s="97">
        <v>85631.24</v>
      </c>
      <c r="J42" s="97">
        <v>10927</v>
      </c>
      <c r="K42" s="97">
        <v>55889</v>
      </c>
      <c r="L42" s="146">
        <f t="shared" si="1"/>
        <v>65.267068420356864</v>
      </c>
      <c r="N42" s="286"/>
      <c r="O42" s="285"/>
      <c r="P42" s="285"/>
      <c r="Q42" s="285"/>
      <c r="R42" s="285"/>
    </row>
    <row r="43" spans="1:18" ht="15" customHeight="1" x14ac:dyDescent="0.2">
      <c r="A43" s="144">
        <v>37</v>
      </c>
      <c r="B43" s="128" t="s">
        <v>73</v>
      </c>
      <c r="C43" s="97">
        <v>30885</v>
      </c>
      <c r="D43" s="97">
        <v>105493.41</v>
      </c>
      <c r="E43" s="97">
        <v>62245</v>
      </c>
      <c r="F43" s="97">
        <v>118361</v>
      </c>
      <c r="G43" s="98">
        <f t="shared" si="0"/>
        <v>112.19752968455565</v>
      </c>
      <c r="H43" s="97">
        <v>26466</v>
      </c>
      <c r="I43" s="97">
        <v>81804.3</v>
      </c>
      <c r="J43" s="97">
        <v>43233</v>
      </c>
      <c r="K43" s="97">
        <v>91013</v>
      </c>
      <c r="L43" s="146">
        <f t="shared" si="1"/>
        <v>111.25698771335981</v>
      </c>
    </row>
    <row r="44" spans="1:18" ht="15" customHeight="1" x14ac:dyDescent="0.2">
      <c r="A44" s="144">
        <v>38</v>
      </c>
      <c r="B44" s="128" t="s">
        <v>221</v>
      </c>
      <c r="C44" s="97">
        <v>0</v>
      </c>
      <c r="D44" s="97">
        <v>0</v>
      </c>
      <c r="E44" s="97">
        <v>0</v>
      </c>
      <c r="F44" s="97">
        <v>0</v>
      </c>
      <c r="G44" s="98">
        <v>0</v>
      </c>
      <c r="H44" s="97">
        <v>0</v>
      </c>
      <c r="I44" s="97">
        <v>0</v>
      </c>
      <c r="J44" s="97">
        <v>0</v>
      </c>
      <c r="K44" s="97">
        <v>0</v>
      </c>
      <c r="L44" s="146">
        <v>0</v>
      </c>
    </row>
    <row r="45" spans="1:18" ht="15" customHeight="1" x14ac:dyDescent="0.2">
      <c r="A45" s="144">
        <v>39</v>
      </c>
      <c r="B45" s="128" t="s">
        <v>222</v>
      </c>
      <c r="C45" s="97">
        <v>2517</v>
      </c>
      <c r="D45" s="97">
        <v>5912.73</v>
      </c>
      <c r="E45" s="97">
        <v>5742</v>
      </c>
      <c r="F45" s="97">
        <v>11471</v>
      </c>
      <c r="G45" s="98">
        <f t="shared" si="0"/>
        <v>194.00513806651074</v>
      </c>
      <c r="H45" s="97">
        <v>2157</v>
      </c>
      <c r="I45" s="97">
        <v>4585</v>
      </c>
      <c r="J45" s="97">
        <v>9</v>
      </c>
      <c r="K45" s="97">
        <v>802</v>
      </c>
      <c r="L45" s="146">
        <f t="shared" si="1"/>
        <v>17.491821155943292</v>
      </c>
    </row>
    <row r="46" spans="1:18" ht="15" customHeight="1" x14ac:dyDescent="0.2">
      <c r="A46" s="144">
        <v>40</v>
      </c>
      <c r="B46" s="128" t="s">
        <v>223</v>
      </c>
      <c r="C46" s="97">
        <v>74</v>
      </c>
      <c r="D46" s="97">
        <v>319.68</v>
      </c>
      <c r="E46" s="97">
        <v>4</v>
      </c>
      <c r="F46" s="97">
        <v>20</v>
      </c>
      <c r="G46" s="98">
        <f t="shared" si="0"/>
        <v>6.2562562562562558</v>
      </c>
      <c r="H46" s="97">
        <v>63</v>
      </c>
      <c r="I46" s="97">
        <v>247.9</v>
      </c>
      <c r="J46" s="97">
        <v>0</v>
      </c>
      <c r="K46" s="97">
        <v>0</v>
      </c>
      <c r="L46" s="146">
        <f t="shared" si="1"/>
        <v>0</v>
      </c>
    </row>
    <row r="47" spans="1:18" ht="15" customHeight="1" x14ac:dyDescent="0.2">
      <c r="A47" s="144">
        <v>41</v>
      </c>
      <c r="B47" s="128" t="s">
        <v>224</v>
      </c>
      <c r="C47" s="97">
        <v>384</v>
      </c>
      <c r="D47" s="97">
        <v>1107.02</v>
      </c>
      <c r="E47" s="97">
        <v>88</v>
      </c>
      <c r="F47" s="97">
        <v>832</v>
      </c>
      <c r="G47" s="98">
        <f t="shared" si="0"/>
        <v>75.15672706906831</v>
      </c>
      <c r="H47" s="97">
        <v>329</v>
      </c>
      <c r="I47" s="97">
        <v>858.44</v>
      </c>
      <c r="J47" s="97">
        <v>48</v>
      </c>
      <c r="K47" s="97">
        <v>241.57</v>
      </c>
      <c r="L47" s="146">
        <f t="shared" si="1"/>
        <v>28.140580588043427</v>
      </c>
    </row>
    <row r="48" spans="1:18" ht="15" customHeight="1" x14ac:dyDescent="0.2">
      <c r="A48" s="144">
        <v>42</v>
      </c>
      <c r="B48" s="128" t="s">
        <v>225</v>
      </c>
      <c r="C48" s="97">
        <v>0</v>
      </c>
      <c r="D48" s="97">
        <v>0</v>
      </c>
      <c r="E48" s="97">
        <v>0</v>
      </c>
      <c r="F48" s="97">
        <v>0</v>
      </c>
      <c r="G48" s="98">
        <v>0</v>
      </c>
      <c r="H48" s="97">
        <v>0</v>
      </c>
      <c r="I48" s="97">
        <v>0</v>
      </c>
      <c r="J48" s="97">
        <v>0</v>
      </c>
      <c r="K48" s="97">
        <v>0</v>
      </c>
      <c r="L48" s="146">
        <v>0</v>
      </c>
    </row>
    <row r="49" spans="1:13" ht="15" customHeight="1" x14ac:dyDescent="0.2">
      <c r="A49" s="144">
        <v>43</v>
      </c>
      <c r="B49" s="135" t="s">
        <v>74</v>
      </c>
      <c r="C49" s="97">
        <v>4802</v>
      </c>
      <c r="D49" s="97">
        <v>19800.97</v>
      </c>
      <c r="E49" s="97">
        <v>7093</v>
      </c>
      <c r="F49" s="97">
        <v>9474</v>
      </c>
      <c r="G49" s="98">
        <f t="shared" si="0"/>
        <v>47.846140870876525</v>
      </c>
      <c r="H49" s="97">
        <v>4115</v>
      </c>
      <c r="I49" s="97">
        <v>15354.56</v>
      </c>
      <c r="J49" s="97">
        <v>319</v>
      </c>
      <c r="K49" s="97">
        <v>309</v>
      </c>
      <c r="L49" s="146">
        <f t="shared" si="1"/>
        <v>2.0124314861513453</v>
      </c>
    </row>
    <row r="50" spans="1:13" ht="15" customHeight="1" x14ac:dyDescent="0.2">
      <c r="A50" s="144">
        <v>44</v>
      </c>
      <c r="B50" s="128" t="s">
        <v>226</v>
      </c>
      <c r="C50" s="97">
        <v>0</v>
      </c>
      <c r="D50" s="97">
        <v>0</v>
      </c>
      <c r="E50" s="97">
        <v>0</v>
      </c>
      <c r="F50" s="97">
        <v>0</v>
      </c>
      <c r="G50" s="98">
        <v>0</v>
      </c>
      <c r="H50" s="97">
        <v>0</v>
      </c>
      <c r="I50" s="97">
        <v>0</v>
      </c>
      <c r="J50" s="97">
        <v>0</v>
      </c>
      <c r="K50" s="97">
        <v>0</v>
      </c>
      <c r="L50" s="146">
        <v>0</v>
      </c>
    </row>
    <row r="51" spans="1:13" ht="15" customHeight="1" x14ac:dyDescent="0.2">
      <c r="A51" s="144">
        <v>45</v>
      </c>
      <c r="B51" s="128" t="s">
        <v>227</v>
      </c>
      <c r="C51" s="97">
        <v>527</v>
      </c>
      <c r="D51" s="97">
        <v>1179.51</v>
      </c>
      <c r="E51" s="97">
        <v>1781</v>
      </c>
      <c r="F51" s="97">
        <v>4681</v>
      </c>
      <c r="G51" s="98">
        <f t="shared" si="0"/>
        <v>396.85971293164113</v>
      </c>
      <c r="H51" s="97">
        <v>451</v>
      </c>
      <c r="I51" s="97">
        <v>914.64</v>
      </c>
      <c r="J51" s="97">
        <v>1545</v>
      </c>
      <c r="K51" s="97">
        <v>2922</v>
      </c>
      <c r="L51" s="146">
        <f t="shared" si="1"/>
        <v>319.4699553922855</v>
      </c>
    </row>
    <row r="52" spans="1:13" ht="15" customHeight="1" x14ac:dyDescent="0.2">
      <c r="A52" s="144">
        <v>46</v>
      </c>
      <c r="B52" s="128" t="s">
        <v>228</v>
      </c>
      <c r="C52" s="97">
        <v>28</v>
      </c>
      <c r="D52" s="97">
        <v>126.06</v>
      </c>
      <c r="E52" s="97">
        <v>0</v>
      </c>
      <c r="F52" s="97">
        <v>0</v>
      </c>
      <c r="G52" s="98">
        <f t="shared" si="0"/>
        <v>0</v>
      </c>
      <c r="H52" s="97">
        <v>24</v>
      </c>
      <c r="I52" s="97">
        <v>97.75</v>
      </c>
      <c r="J52" s="97">
        <v>0</v>
      </c>
      <c r="K52" s="97">
        <v>0</v>
      </c>
      <c r="L52" s="146">
        <f t="shared" si="1"/>
        <v>0</v>
      </c>
    </row>
    <row r="53" spans="1:13" ht="15" customHeight="1" x14ac:dyDescent="0.2">
      <c r="A53" s="144">
        <v>47</v>
      </c>
      <c r="B53" s="108" t="s">
        <v>78</v>
      </c>
      <c r="C53" s="97">
        <v>0</v>
      </c>
      <c r="D53" s="97">
        <v>0</v>
      </c>
      <c r="E53" s="97">
        <v>0</v>
      </c>
      <c r="F53" s="97">
        <v>0</v>
      </c>
      <c r="G53" s="98">
        <v>0</v>
      </c>
      <c r="H53" s="97">
        <v>0</v>
      </c>
      <c r="I53" s="97">
        <v>0</v>
      </c>
      <c r="J53" s="97">
        <v>0</v>
      </c>
      <c r="K53" s="97">
        <v>0</v>
      </c>
      <c r="L53" s="146">
        <v>0</v>
      </c>
    </row>
    <row r="54" spans="1:13" ht="15" customHeight="1" x14ac:dyDescent="0.2">
      <c r="A54" s="144">
        <v>48</v>
      </c>
      <c r="B54" s="108" t="s">
        <v>229</v>
      </c>
      <c r="C54" s="97">
        <v>0</v>
      </c>
      <c r="D54" s="97">
        <v>0</v>
      </c>
      <c r="E54" s="97">
        <v>0</v>
      </c>
      <c r="F54" s="97">
        <v>0</v>
      </c>
      <c r="G54" s="98">
        <v>0</v>
      </c>
      <c r="H54" s="97">
        <v>0</v>
      </c>
      <c r="I54" s="97">
        <v>0</v>
      </c>
      <c r="J54" s="97">
        <v>0</v>
      </c>
      <c r="K54" s="97">
        <v>0</v>
      </c>
      <c r="L54" s="146">
        <v>0</v>
      </c>
    </row>
    <row r="55" spans="1:13" ht="15" customHeight="1" x14ac:dyDescent="0.2">
      <c r="A55" s="144">
        <v>49</v>
      </c>
      <c r="B55" s="108" t="s">
        <v>77</v>
      </c>
      <c r="C55" s="97">
        <v>1199</v>
      </c>
      <c r="D55" s="97">
        <v>3197.06</v>
      </c>
      <c r="E55" s="97">
        <v>4541</v>
      </c>
      <c r="F55" s="97">
        <v>3055</v>
      </c>
      <c r="G55" s="98">
        <f t="shared" si="0"/>
        <v>95.556542573489395</v>
      </c>
      <c r="H55" s="97">
        <v>1028</v>
      </c>
      <c r="I55" s="97">
        <v>2479.14</v>
      </c>
      <c r="J55" s="97">
        <v>0</v>
      </c>
      <c r="K55" s="97">
        <v>0</v>
      </c>
      <c r="L55" s="146">
        <f t="shared" si="1"/>
        <v>0</v>
      </c>
    </row>
    <row r="56" spans="1:13" s="159" customFormat="1" x14ac:dyDescent="0.2">
      <c r="A56" s="148"/>
      <c r="B56" s="133" t="s">
        <v>408</v>
      </c>
      <c r="C56" s="102">
        <f>SUM(C34:C55)</f>
        <v>94610</v>
      </c>
      <c r="D56" s="102">
        <f t="shared" ref="D56:K56" si="3">SUM(D34:D55)</f>
        <v>316970.86</v>
      </c>
      <c r="E56" s="102">
        <f t="shared" si="3"/>
        <v>147173</v>
      </c>
      <c r="F56" s="102">
        <f t="shared" si="3"/>
        <v>262333.25</v>
      </c>
      <c r="G56" s="98">
        <f t="shared" si="0"/>
        <v>82.762576345346076</v>
      </c>
      <c r="H56" s="102">
        <f t="shared" si="3"/>
        <v>81129</v>
      </c>
      <c r="I56" s="102">
        <f t="shared" si="3"/>
        <v>245779.56000000003</v>
      </c>
      <c r="J56" s="102">
        <f t="shared" si="3"/>
        <v>57963</v>
      </c>
      <c r="K56" s="102">
        <f t="shared" si="3"/>
        <v>154810.74</v>
      </c>
      <c r="L56" s="146">
        <f t="shared" si="1"/>
        <v>62.987638190905699</v>
      </c>
      <c r="M56" s="157"/>
    </row>
    <row r="57" spans="1:13" ht="15" customHeight="1" x14ac:dyDescent="0.2">
      <c r="A57" s="144">
        <v>50</v>
      </c>
      <c r="B57" s="128" t="s">
        <v>47</v>
      </c>
      <c r="C57" s="97">
        <v>77034</v>
      </c>
      <c r="D57" s="97">
        <v>272593.48</v>
      </c>
      <c r="E57" s="97">
        <v>58953</v>
      </c>
      <c r="F57" s="97">
        <v>80389</v>
      </c>
      <c r="G57" s="98">
        <f t="shared" si="0"/>
        <v>29.490433887120119</v>
      </c>
      <c r="H57" s="97">
        <v>62516.029328722252</v>
      </c>
      <c r="I57" s="97">
        <v>204064.77</v>
      </c>
      <c r="J57" s="97">
        <v>58516</v>
      </c>
      <c r="K57" s="97">
        <v>79806</v>
      </c>
      <c r="L57" s="146">
        <f t="shared" si="1"/>
        <v>39.108171390877516</v>
      </c>
    </row>
    <row r="58" spans="1:13" ht="15" customHeight="1" x14ac:dyDescent="0.2">
      <c r="A58" s="144">
        <v>51</v>
      </c>
      <c r="B58" s="128" t="s">
        <v>230</v>
      </c>
      <c r="C58" s="97">
        <f>144402-1800</f>
        <v>142602</v>
      </c>
      <c r="D58" s="97">
        <f>257917.7+12000</f>
        <v>269917.7</v>
      </c>
      <c r="E58" s="97">
        <v>164661</v>
      </c>
      <c r="F58" s="97">
        <v>56836</v>
      </c>
      <c r="G58" s="98">
        <f t="shared" si="0"/>
        <v>21.05678879154646</v>
      </c>
      <c r="H58" s="97">
        <f>135669-12584</f>
        <v>123085</v>
      </c>
      <c r="I58" s="97">
        <v>228893.73</v>
      </c>
      <c r="J58" s="97">
        <v>164520</v>
      </c>
      <c r="K58" s="97">
        <v>56786</v>
      </c>
      <c r="L58" s="146">
        <f t="shared" si="1"/>
        <v>24.808892755603221</v>
      </c>
    </row>
    <row r="59" spans="1:13" ht="15" customHeight="1" x14ac:dyDescent="0.2">
      <c r="A59" s="144">
        <v>52</v>
      </c>
      <c r="B59" s="128" t="s">
        <v>53</v>
      </c>
      <c r="C59" s="97">
        <f>110333.042837079-1848</f>
        <v>108485.042837079</v>
      </c>
      <c r="D59" s="97">
        <f>400093.97+12037</f>
        <v>412130.97</v>
      </c>
      <c r="E59" s="97">
        <v>115133</v>
      </c>
      <c r="F59" s="97">
        <v>156615.94</v>
      </c>
      <c r="G59" s="98">
        <f t="shared" si="0"/>
        <v>38.001497436603714</v>
      </c>
      <c r="H59" s="97">
        <v>95573</v>
      </c>
      <c r="I59" s="97">
        <f>338748.6-31435</f>
        <v>307313.59999999998</v>
      </c>
      <c r="J59" s="97">
        <v>114390</v>
      </c>
      <c r="K59" s="97">
        <v>155639.26</v>
      </c>
      <c r="L59" s="146">
        <f t="shared" si="1"/>
        <v>50.645093481056492</v>
      </c>
    </row>
    <row r="60" spans="1:13" s="166" customFormat="1" x14ac:dyDescent="0.2">
      <c r="A60" s="104"/>
      <c r="B60" s="115" t="s">
        <v>415</v>
      </c>
      <c r="C60" s="105">
        <f>SUM(C57:C59)</f>
        <v>328121.04283707903</v>
      </c>
      <c r="D60" s="105">
        <f t="shared" ref="D60:K60" si="4">SUM(D57:D59)</f>
        <v>954642.14999999991</v>
      </c>
      <c r="E60" s="105">
        <f t="shared" si="4"/>
        <v>338747</v>
      </c>
      <c r="F60" s="105">
        <f t="shared" si="4"/>
        <v>293840.94</v>
      </c>
      <c r="G60" s="98">
        <f t="shared" si="0"/>
        <v>30.780218535290949</v>
      </c>
      <c r="H60" s="105">
        <f t="shared" si="4"/>
        <v>281174.02932872227</v>
      </c>
      <c r="I60" s="105">
        <f t="shared" si="4"/>
        <v>740272.1</v>
      </c>
      <c r="J60" s="105">
        <f t="shared" si="4"/>
        <v>337426</v>
      </c>
      <c r="K60" s="105">
        <f t="shared" si="4"/>
        <v>292231.26</v>
      </c>
      <c r="L60" s="146">
        <f t="shared" si="1"/>
        <v>39.476195307103971</v>
      </c>
      <c r="M60" s="136"/>
    </row>
    <row r="61" spans="1:13" x14ac:dyDescent="0.2">
      <c r="A61" s="144">
        <v>53</v>
      </c>
      <c r="B61" s="108" t="s">
        <v>409</v>
      </c>
      <c r="C61" s="97">
        <v>665523</v>
      </c>
      <c r="D61" s="97">
        <v>1996110.99</v>
      </c>
      <c r="E61" s="97">
        <v>663049</v>
      </c>
      <c r="F61" s="97">
        <v>830042.5</v>
      </c>
      <c r="G61" s="98">
        <f t="shared" si="0"/>
        <v>41.58298331897867</v>
      </c>
      <c r="H61" s="97">
        <v>582311</v>
      </c>
      <c r="I61" s="97">
        <v>1512286.55</v>
      </c>
      <c r="J61" s="97">
        <v>762174</v>
      </c>
      <c r="K61" s="97">
        <v>829337.87</v>
      </c>
      <c r="L61" s="146">
        <f t="shared" si="1"/>
        <v>54.839995105424961</v>
      </c>
    </row>
    <row r="62" spans="1:13" s="159" customFormat="1" x14ac:dyDescent="0.2">
      <c r="A62" s="148"/>
      <c r="B62" s="115" t="s">
        <v>410</v>
      </c>
      <c r="C62" s="102">
        <f>C61</f>
        <v>665523</v>
      </c>
      <c r="D62" s="102">
        <f t="shared" ref="D62:K62" si="5">D61</f>
        <v>1996110.99</v>
      </c>
      <c r="E62" s="102">
        <f t="shared" si="5"/>
        <v>663049</v>
      </c>
      <c r="F62" s="102">
        <f t="shared" si="5"/>
        <v>830042.5</v>
      </c>
      <c r="G62" s="98">
        <f t="shared" si="0"/>
        <v>41.58298331897867</v>
      </c>
      <c r="H62" s="102">
        <f t="shared" si="5"/>
        <v>582311</v>
      </c>
      <c r="I62" s="102">
        <f t="shared" si="5"/>
        <v>1512286.55</v>
      </c>
      <c r="J62" s="102">
        <f t="shared" si="5"/>
        <v>762174</v>
      </c>
      <c r="K62" s="102">
        <f t="shared" si="5"/>
        <v>829337.87</v>
      </c>
      <c r="L62" s="146">
        <f t="shared" si="1"/>
        <v>54.839995105424961</v>
      </c>
      <c r="M62" s="157"/>
    </row>
    <row r="63" spans="1:13" s="159" customFormat="1" x14ac:dyDescent="0.2">
      <c r="A63" s="148"/>
      <c r="B63" s="115" t="s">
        <v>411</v>
      </c>
      <c r="C63" s="102">
        <f>C62+C60+C56+C33</f>
        <v>2480508.0428370791</v>
      </c>
      <c r="D63" s="102">
        <f t="shared" ref="D63:K63" si="6">D62+D60+D56+D33</f>
        <v>7591980.2599999998</v>
      </c>
      <c r="E63" s="102">
        <f t="shared" si="6"/>
        <v>2298317</v>
      </c>
      <c r="F63" s="102">
        <f t="shared" si="6"/>
        <v>3013505.2199999997</v>
      </c>
      <c r="G63" s="98">
        <f t="shared" si="0"/>
        <v>39.69326996116294</v>
      </c>
      <c r="H63" s="102">
        <f t="shared" si="6"/>
        <v>2137653.0293287225</v>
      </c>
      <c r="I63" s="102">
        <f t="shared" si="6"/>
        <v>5852094.25</v>
      </c>
      <c r="J63" s="102">
        <f t="shared" si="6"/>
        <v>2140470</v>
      </c>
      <c r="K63" s="102">
        <f t="shared" si="6"/>
        <v>2613677.9500000002</v>
      </c>
      <c r="L63" s="146">
        <f t="shared" si="1"/>
        <v>44.662266845753557</v>
      </c>
      <c r="M63" s="157"/>
    </row>
  </sheetData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F16 H16:I16">
    <cfRule type="duplicateValues" dxfId="140" priority="5"/>
  </conditionalFormatting>
  <conditionalFormatting sqref="B6">
    <cfRule type="duplicateValues" dxfId="139" priority="6"/>
  </conditionalFormatting>
  <conditionalFormatting sqref="B26">
    <cfRule type="duplicateValues" dxfId="138" priority="7"/>
  </conditionalFormatting>
  <conditionalFormatting sqref="L2:L3 L6:L65540">
    <cfRule type="cellIs" dxfId="137" priority="4" stopIfTrue="1" operator="greaterThan">
      <formula>50</formula>
    </cfRule>
  </conditionalFormatting>
  <conditionalFormatting sqref="B32:B33 B27:B29 B25">
    <cfRule type="duplicateValues" dxfId="136" priority="114"/>
  </conditionalFormatting>
  <conditionalFormatting sqref="B52">
    <cfRule type="duplicateValues" dxfId="135" priority="3"/>
  </conditionalFormatting>
  <conditionalFormatting sqref="B56">
    <cfRule type="duplicateValues" dxfId="134" priority="2"/>
  </conditionalFormatting>
  <conditionalFormatting sqref="B58">
    <cfRule type="duplicateValues" dxfId="133" priority="1"/>
  </conditionalFormatting>
  <pageMargins left="0.75" right="0.25" top="0.25" bottom="0.25" header="0.05" footer="0.3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4"/>
  <sheetViews>
    <sheetView zoomScaleNormal="10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A27" sqref="A27:XFD27"/>
    </sheetView>
  </sheetViews>
  <sheetFormatPr defaultColWidth="4.42578125" defaultRowHeight="13.5" x14ac:dyDescent="0.2"/>
  <cols>
    <col min="1" max="1" width="4.42578125" style="71"/>
    <col min="2" max="2" width="24.85546875" style="71" customWidth="1"/>
    <col min="3" max="3" width="8.5703125" style="120" customWidth="1"/>
    <col min="4" max="4" width="8.7109375" style="120" customWidth="1"/>
    <col min="5" max="5" width="8.7109375" style="120" bestFit="1" customWidth="1"/>
    <col min="6" max="6" width="8.42578125" style="120" customWidth="1"/>
    <col min="7" max="7" width="9.28515625" style="118" customWidth="1"/>
    <col min="8" max="8" width="8.7109375" style="120" bestFit="1" customWidth="1"/>
    <col min="9" max="9" width="8.85546875" style="120" customWidth="1"/>
    <col min="10" max="10" width="8.7109375" style="120" bestFit="1" customWidth="1"/>
    <col min="11" max="11" width="9.140625" style="120" bestFit="1" customWidth="1"/>
    <col min="12" max="12" width="9.5703125" style="118" customWidth="1"/>
    <col min="13" max="13" width="9.140625" style="120" customWidth="1"/>
    <col min="14" max="14" width="9.28515625" style="120" customWidth="1"/>
    <col min="15" max="16" width="9.5703125" style="120" customWidth="1"/>
    <col min="17" max="17" width="9.140625" style="118" customWidth="1"/>
    <col min="18" max="18" width="8" style="71" bestFit="1" customWidth="1"/>
    <col min="19" max="19" width="9" style="71" bestFit="1" customWidth="1"/>
    <col min="20" max="16384" width="4.42578125" style="71"/>
  </cols>
  <sheetData>
    <row r="1" spans="1:18" ht="15" customHeight="1" x14ac:dyDescent="0.2">
      <c r="A1" s="426" t="s">
        <v>478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18" ht="15" customHeight="1" x14ac:dyDescent="0.2">
      <c r="B2" s="117" t="s">
        <v>135</v>
      </c>
      <c r="C2" s="121"/>
      <c r="D2" s="121"/>
      <c r="F2" s="120" t="s">
        <v>144</v>
      </c>
      <c r="I2" s="121" t="s">
        <v>165</v>
      </c>
      <c r="J2" s="121"/>
      <c r="K2" s="121"/>
      <c r="L2" s="387"/>
      <c r="M2" s="121"/>
      <c r="N2" s="121"/>
    </row>
    <row r="3" spans="1:18" ht="35.1" customHeight="1" x14ac:dyDescent="0.2">
      <c r="A3" s="427" t="s">
        <v>121</v>
      </c>
      <c r="B3" s="427" t="s">
        <v>101</v>
      </c>
      <c r="C3" s="427" t="s">
        <v>162</v>
      </c>
      <c r="D3" s="427"/>
      <c r="E3" s="427"/>
      <c r="F3" s="427"/>
      <c r="G3" s="427"/>
      <c r="H3" s="427" t="s">
        <v>163</v>
      </c>
      <c r="I3" s="427"/>
      <c r="J3" s="427"/>
      <c r="K3" s="427"/>
      <c r="L3" s="427"/>
      <c r="M3" s="451" t="s">
        <v>164</v>
      </c>
      <c r="N3" s="452"/>
      <c r="O3" s="452"/>
      <c r="P3" s="452"/>
      <c r="Q3" s="453"/>
      <c r="R3" s="388"/>
    </row>
    <row r="4" spans="1:18" ht="24.95" customHeight="1" x14ac:dyDescent="0.2">
      <c r="A4" s="427"/>
      <c r="B4" s="427"/>
      <c r="C4" s="428" t="s">
        <v>21</v>
      </c>
      <c r="D4" s="428"/>
      <c r="E4" s="428" t="s">
        <v>161</v>
      </c>
      <c r="F4" s="428"/>
      <c r="G4" s="425" t="s">
        <v>159</v>
      </c>
      <c r="H4" s="428" t="s">
        <v>21</v>
      </c>
      <c r="I4" s="428"/>
      <c r="J4" s="428" t="s">
        <v>161</v>
      </c>
      <c r="K4" s="428"/>
      <c r="L4" s="425" t="s">
        <v>159</v>
      </c>
      <c r="M4" s="428" t="s">
        <v>21</v>
      </c>
      <c r="N4" s="428"/>
      <c r="O4" s="428" t="s">
        <v>161</v>
      </c>
      <c r="P4" s="428"/>
      <c r="Q4" s="425" t="s">
        <v>159</v>
      </c>
      <c r="R4" s="388"/>
    </row>
    <row r="5" spans="1:18" ht="15" customHeight="1" x14ac:dyDescent="0.2">
      <c r="A5" s="427"/>
      <c r="B5" s="427"/>
      <c r="C5" s="383" t="s">
        <v>30</v>
      </c>
      <c r="D5" s="383" t="s">
        <v>17</v>
      </c>
      <c r="E5" s="383" t="s">
        <v>30</v>
      </c>
      <c r="F5" s="383" t="s">
        <v>17</v>
      </c>
      <c r="G5" s="425"/>
      <c r="H5" s="383" t="s">
        <v>30</v>
      </c>
      <c r="I5" s="383" t="s">
        <v>17</v>
      </c>
      <c r="J5" s="383" t="s">
        <v>30</v>
      </c>
      <c r="K5" s="383" t="s">
        <v>17</v>
      </c>
      <c r="L5" s="425"/>
      <c r="M5" s="383" t="s">
        <v>30</v>
      </c>
      <c r="N5" s="383" t="s">
        <v>17</v>
      </c>
      <c r="O5" s="383" t="s">
        <v>30</v>
      </c>
      <c r="P5" s="383" t="s">
        <v>17</v>
      </c>
      <c r="Q5" s="425"/>
      <c r="R5" s="388"/>
    </row>
    <row r="6" spans="1:18" x14ac:dyDescent="0.2">
      <c r="A6" s="65">
        <v>1</v>
      </c>
      <c r="B6" s="107" t="s">
        <v>56</v>
      </c>
      <c r="C6" s="108">
        <v>1520</v>
      </c>
      <c r="D6" s="108">
        <v>5556</v>
      </c>
      <c r="E6" s="108">
        <v>92</v>
      </c>
      <c r="F6" s="108">
        <v>265.18</v>
      </c>
      <c r="G6" s="109">
        <f>F6*100/D6</f>
        <v>4.7728581713462921</v>
      </c>
      <c r="H6" s="108">
        <v>4048</v>
      </c>
      <c r="I6" s="108">
        <v>3227</v>
      </c>
      <c r="J6" s="108">
        <v>1277</v>
      </c>
      <c r="K6" s="108">
        <v>855.75</v>
      </c>
      <c r="L6" s="109">
        <f>K6*100/I6</f>
        <v>26.518438177874188</v>
      </c>
      <c r="M6" s="108">
        <f>H6+C6+'ACP_Agri_9(i)'!C6</f>
        <v>59642</v>
      </c>
      <c r="N6" s="108">
        <f>I6+D6+'ACP_Agri_9(i)'!D6</f>
        <v>141080.06</v>
      </c>
      <c r="O6" s="108">
        <f>J6+E6+'ACP_Agri_9(i)'!E6</f>
        <v>5949</v>
      </c>
      <c r="P6" s="108">
        <f>K6+F6+'ACP_Agri_9(i)'!F6</f>
        <v>9573.8000000000011</v>
      </c>
      <c r="Q6" s="109">
        <f>P6*100/N6</f>
        <v>6.7860759344729518</v>
      </c>
      <c r="R6" s="120"/>
    </row>
    <row r="7" spans="1:18" x14ac:dyDescent="0.2">
      <c r="A7" s="65">
        <v>2</v>
      </c>
      <c r="B7" s="107" t="s">
        <v>57</v>
      </c>
      <c r="C7" s="108">
        <v>34</v>
      </c>
      <c r="D7" s="108">
        <v>138</v>
      </c>
      <c r="E7" s="108">
        <v>0</v>
      </c>
      <c r="F7" s="108">
        <v>0</v>
      </c>
      <c r="G7" s="109">
        <f t="shared" ref="G7:G63" si="0">F7*100/D7</f>
        <v>0</v>
      </c>
      <c r="H7" s="108">
        <v>24</v>
      </c>
      <c r="I7" s="108">
        <v>80</v>
      </c>
      <c r="J7" s="108">
        <v>0</v>
      </c>
      <c r="K7" s="108">
        <v>0</v>
      </c>
      <c r="L7" s="109">
        <f t="shared" ref="L7:L63" si="1">K7*100/I7</f>
        <v>0</v>
      </c>
      <c r="M7" s="108">
        <f>H7+C7+'ACP_Agri_9(i)'!C7</f>
        <v>1222</v>
      </c>
      <c r="N7" s="108">
        <f>I7+D7+'ACP_Agri_9(i)'!D7</f>
        <v>3493.33</v>
      </c>
      <c r="O7" s="108">
        <f>J7+E7+'ACP_Agri_9(i)'!E7</f>
        <v>760</v>
      </c>
      <c r="P7" s="108">
        <f>K7+F7+'ACP_Agri_9(i)'!F7</f>
        <v>1699.25</v>
      </c>
      <c r="Q7" s="109">
        <f t="shared" ref="Q7:Q63" si="2">P7*100/N7</f>
        <v>48.64269908654493</v>
      </c>
      <c r="R7" s="120"/>
    </row>
    <row r="8" spans="1:18" x14ac:dyDescent="0.2">
      <c r="A8" s="65">
        <v>3</v>
      </c>
      <c r="B8" s="107" t="s">
        <v>58</v>
      </c>
      <c r="C8" s="108">
        <v>1022</v>
      </c>
      <c r="D8" s="108">
        <v>4656</v>
      </c>
      <c r="E8" s="108">
        <v>2733</v>
      </c>
      <c r="F8" s="108">
        <v>12790</v>
      </c>
      <c r="G8" s="109">
        <f t="shared" si="0"/>
        <v>274.69931271477662</v>
      </c>
      <c r="H8" s="108">
        <v>704</v>
      </c>
      <c r="I8" s="108">
        <v>2704</v>
      </c>
      <c r="J8" s="108">
        <v>543</v>
      </c>
      <c r="K8" s="108">
        <v>2467</v>
      </c>
      <c r="L8" s="109">
        <f t="shared" si="1"/>
        <v>91.235207100591722</v>
      </c>
      <c r="M8" s="108">
        <f>H8+C8+'ACP_Agri_9(i)'!C8</f>
        <v>38048</v>
      </c>
      <c r="N8" s="108">
        <f>I8+D8+'ACP_Agri_9(i)'!D8</f>
        <v>118221.54</v>
      </c>
      <c r="O8" s="108">
        <f>J8+E8+'ACP_Agri_9(i)'!E8</f>
        <v>22840</v>
      </c>
      <c r="P8" s="108">
        <f>K8+F8+'ACP_Agri_9(i)'!F8</f>
        <v>61532</v>
      </c>
      <c r="Q8" s="109">
        <f t="shared" si="2"/>
        <v>52.048044713340737</v>
      </c>
      <c r="R8" s="120"/>
    </row>
    <row r="9" spans="1:18" x14ac:dyDescent="0.2">
      <c r="A9" s="65">
        <v>4</v>
      </c>
      <c r="B9" s="107" t="s">
        <v>59</v>
      </c>
      <c r="C9" s="108">
        <v>5162</v>
      </c>
      <c r="D9" s="108">
        <v>28477</v>
      </c>
      <c r="E9" s="108">
        <v>13201</v>
      </c>
      <c r="F9" s="108">
        <v>21946</v>
      </c>
      <c r="G9" s="109">
        <f t="shared" si="0"/>
        <v>77.065702145591175</v>
      </c>
      <c r="H9" s="108">
        <v>3558</v>
      </c>
      <c r="I9" s="108">
        <v>16541</v>
      </c>
      <c r="J9" s="108">
        <v>19513</v>
      </c>
      <c r="K9" s="108">
        <v>30285</v>
      </c>
      <c r="L9" s="109">
        <f t="shared" si="1"/>
        <v>183.09050238800558</v>
      </c>
      <c r="M9" s="108">
        <f>H9+C9+'ACP_Agri_9(i)'!C9</f>
        <v>192320</v>
      </c>
      <c r="N9" s="108">
        <f>I9+D9+'ACP_Agri_9(i)'!D9</f>
        <v>723077.37</v>
      </c>
      <c r="O9" s="108">
        <f>J9+E9+'ACP_Agri_9(i)'!E9</f>
        <v>641646</v>
      </c>
      <c r="P9" s="108">
        <f>K9+F9+'ACP_Agri_9(i)'!F9</f>
        <v>421876</v>
      </c>
      <c r="Q9" s="109">
        <f t="shared" si="2"/>
        <v>58.344517129612285</v>
      </c>
      <c r="R9" s="120"/>
    </row>
    <row r="10" spans="1:18" x14ac:dyDescent="0.2">
      <c r="A10" s="65">
        <v>5</v>
      </c>
      <c r="B10" s="107" t="s">
        <v>60</v>
      </c>
      <c r="C10" s="108">
        <v>1098</v>
      </c>
      <c r="D10" s="108">
        <v>4774</v>
      </c>
      <c r="E10" s="108">
        <v>0</v>
      </c>
      <c r="F10" s="108">
        <v>0</v>
      </c>
      <c r="G10" s="109">
        <f t="shared" si="0"/>
        <v>0</v>
      </c>
      <c r="H10" s="108">
        <v>757</v>
      </c>
      <c r="I10" s="108">
        <v>2773</v>
      </c>
      <c r="J10" s="108">
        <v>14</v>
      </c>
      <c r="K10" s="108">
        <v>106</v>
      </c>
      <c r="L10" s="109">
        <f t="shared" si="1"/>
        <v>3.8225748287053731</v>
      </c>
      <c r="M10" s="108">
        <f>H10+C10+'ACP_Agri_9(i)'!C10</f>
        <v>40939</v>
      </c>
      <c r="N10" s="108">
        <f>I10+D10+'ACP_Agri_9(i)'!D10</f>
        <v>121210.74</v>
      </c>
      <c r="O10" s="108">
        <f>J10+E10+'ACP_Agri_9(i)'!E10</f>
        <v>18997</v>
      </c>
      <c r="P10" s="108">
        <f>K10+F10+'ACP_Agri_9(i)'!F10</f>
        <v>23899</v>
      </c>
      <c r="Q10" s="109">
        <f t="shared" si="2"/>
        <v>19.716899674071787</v>
      </c>
      <c r="R10" s="120"/>
    </row>
    <row r="11" spans="1:18" x14ac:dyDescent="0.2">
      <c r="A11" s="65">
        <v>6</v>
      </c>
      <c r="B11" s="110" t="s">
        <v>244</v>
      </c>
      <c r="C11" s="108">
        <v>15</v>
      </c>
      <c r="D11" s="108">
        <v>25</v>
      </c>
      <c r="E11" s="108">
        <v>0</v>
      </c>
      <c r="F11" s="108">
        <v>0</v>
      </c>
      <c r="G11" s="109">
        <f t="shared" si="0"/>
        <v>0</v>
      </c>
      <c r="H11" s="108">
        <v>0</v>
      </c>
      <c r="I11" s="108">
        <v>0</v>
      </c>
      <c r="J11" s="108">
        <v>0</v>
      </c>
      <c r="K11" s="108">
        <v>0</v>
      </c>
      <c r="L11" s="109">
        <v>0</v>
      </c>
      <c r="M11" s="108">
        <f>H11+C11+'ACP_Agri_9(i)'!C11</f>
        <v>30</v>
      </c>
      <c r="N11" s="108">
        <f>I11+D11+'ACP_Agri_9(i)'!D11</f>
        <v>50</v>
      </c>
      <c r="O11" s="108">
        <f>J11+E11+'ACP_Agri_9(i)'!E11</f>
        <v>1</v>
      </c>
      <c r="P11" s="108">
        <f>K11+F11+'ACP_Agri_9(i)'!F11</f>
        <v>0.72</v>
      </c>
      <c r="Q11" s="109">
        <f t="shared" si="2"/>
        <v>1.44</v>
      </c>
      <c r="R11" s="120"/>
    </row>
    <row r="12" spans="1:18" x14ac:dyDescent="0.2">
      <c r="A12" s="65">
        <v>7</v>
      </c>
      <c r="B12" s="107" t="s">
        <v>61</v>
      </c>
      <c r="C12" s="108">
        <v>594</v>
      </c>
      <c r="D12" s="108">
        <v>2372</v>
      </c>
      <c r="E12" s="108">
        <v>258</v>
      </c>
      <c r="F12" s="108">
        <v>2648</v>
      </c>
      <c r="G12" s="109">
        <f t="shared" si="0"/>
        <v>111.63575042158516</v>
      </c>
      <c r="H12" s="108">
        <v>410</v>
      </c>
      <c r="I12" s="108">
        <v>1378</v>
      </c>
      <c r="J12" s="108">
        <v>78</v>
      </c>
      <c r="K12" s="108">
        <v>1115</v>
      </c>
      <c r="L12" s="109">
        <f t="shared" si="1"/>
        <v>80.91436865021771</v>
      </c>
      <c r="M12" s="108">
        <f>H12+C12+'ACP_Agri_9(i)'!C12</f>
        <v>22139</v>
      </c>
      <c r="N12" s="108">
        <f>I12+D12+'ACP_Agri_9(i)'!D12</f>
        <v>60236.68</v>
      </c>
      <c r="O12" s="108">
        <f>J12+E12+'ACP_Agri_9(i)'!E12</f>
        <v>17468</v>
      </c>
      <c r="P12" s="108">
        <f>K12+F12+'ACP_Agri_9(i)'!F12</f>
        <v>29968</v>
      </c>
      <c r="Q12" s="109">
        <f t="shared" si="2"/>
        <v>49.750417851714268</v>
      </c>
      <c r="R12" s="120"/>
    </row>
    <row r="13" spans="1:18" x14ac:dyDescent="0.2">
      <c r="A13" s="65">
        <v>8</v>
      </c>
      <c r="B13" s="107" t="s">
        <v>62</v>
      </c>
      <c r="C13" s="108">
        <v>5520</v>
      </c>
      <c r="D13" s="108">
        <v>23705</v>
      </c>
      <c r="E13" s="108">
        <v>48</v>
      </c>
      <c r="F13" s="108">
        <v>347</v>
      </c>
      <c r="G13" s="109">
        <f t="shared" si="0"/>
        <v>1.4638261970048514</v>
      </c>
      <c r="H13" s="108">
        <v>3805</v>
      </c>
      <c r="I13" s="108">
        <v>13769</v>
      </c>
      <c r="J13" s="108">
        <v>180</v>
      </c>
      <c r="K13" s="108">
        <v>4048</v>
      </c>
      <c r="L13" s="109">
        <f t="shared" si="1"/>
        <v>29.399375408526399</v>
      </c>
      <c r="M13" s="108">
        <f>H13+C13+'ACP_Agri_9(i)'!C13</f>
        <v>205684</v>
      </c>
      <c r="N13" s="108">
        <f>I13+D13+'ACP_Agri_9(i)'!D13</f>
        <v>601908.85</v>
      </c>
      <c r="O13" s="108">
        <f>J13+E13+'ACP_Agri_9(i)'!E13</f>
        <v>88766</v>
      </c>
      <c r="P13" s="108">
        <f>K13+F13+'ACP_Agri_9(i)'!F13</f>
        <v>261947</v>
      </c>
      <c r="Q13" s="109">
        <f t="shared" si="2"/>
        <v>43.519380052311909</v>
      </c>
      <c r="R13" s="120"/>
    </row>
    <row r="14" spans="1:18" x14ac:dyDescent="0.2">
      <c r="A14" s="65">
        <v>9</v>
      </c>
      <c r="B14" s="107" t="s">
        <v>49</v>
      </c>
      <c r="C14" s="108">
        <v>120</v>
      </c>
      <c r="D14" s="108">
        <v>586</v>
      </c>
      <c r="E14" s="108">
        <v>5</v>
      </c>
      <c r="F14" s="108">
        <v>548</v>
      </c>
      <c r="G14" s="109">
        <f t="shared" si="0"/>
        <v>93.515358361774744</v>
      </c>
      <c r="H14" s="108">
        <v>84</v>
      </c>
      <c r="I14" s="108">
        <v>341</v>
      </c>
      <c r="J14" s="108">
        <v>0</v>
      </c>
      <c r="K14" s="108">
        <v>0</v>
      </c>
      <c r="L14" s="109">
        <f t="shared" si="1"/>
        <v>0</v>
      </c>
      <c r="M14" s="108">
        <f>H14+C14+'ACP_Agri_9(i)'!C14</f>
        <v>4515</v>
      </c>
      <c r="N14" s="108">
        <f>I14+D14+'ACP_Agri_9(i)'!D14</f>
        <v>14890.1</v>
      </c>
      <c r="O14" s="108">
        <f>J14+E14+'ACP_Agri_9(i)'!E14</f>
        <v>2435</v>
      </c>
      <c r="P14" s="108">
        <f>K14+F14+'ACP_Agri_9(i)'!F14</f>
        <v>43947</v>
      </c>
      <c r="Q14" s="109">
        <f t="shared" si="2"/>
        <v>295.14241005768935</v>
      </c>
      <c r="R14" s="120"/>
    </row>
    <row r="15" spans="1:18" x14ac:dyDescent="0.2">
      <c r="A15" s="65">
        <v>10</v>
      </c>
      <c r="B15" s="107" t="s">
        <v>50</v>
      </c>
      <c r="C15" s="108">
        <v>318</v>
      </c>
      <c r="D15" s="108">
        <v>1650</v>
      </c>
      <c r="E15" s="108">
        <v>11</v>
      </c>
      <c r="F15" s="108">
        <v>46</v>
      </c>
      <c r="G15" s="109">
        <f t="shared" si="0"/>
        <v>2.7878787878787881</v>
      </c>
      <c r="H15" s="108">
        <v>220</v>
      </c>
      <c r="I15" s="108">
        <v>958</v>
      </c>
      <c r="J15" s="108">
        <v>9</v>
      </c>
      <c r="K15" s="108">
        <v>152</v>
      </c>
      <c r="L15" s="109">
        <f t="shared" si="1"/>
        <v>15.866388308977035</v>
      </c>
      <c r="M15" s="108">
        <f>H15+C15+'ACP_Agri_9(i)'!C15</f>
        <v>11882</v>
      </c>
      <c r="N15" s="108">
        <f>I15+D15+'ACP_Agri_9(i)'!D15</f>
        <v>41885.339999999997</v>
      </c>
      <c r="O15" s="108">
        <f>J15+E15+'ACP_Agri_9(i)'!E15</f>
        <v>2442</v>
      </c>
      <c r="P15" s="108">
        <f>K15+F15+'ACP_Agri_9(i)'!F15</f>
        <v>6392</v>
      </c>
      <c r="Q15" s="109">
        <f t="shared" si="2"/>
        <v>15.260709355588377</v>
      </c>
      <c r="R15" s="120"/>
    </row>
    <row r="16" spans="1:18" x14ac:dyDescent="0.2">
      <c r="A16" s="65">
        <v>11</v>
      </c>
      <c r="B16" s="107" t="s">
        <v>82</v>
      </c>
      <c r="C16" s="108">
        <v>215</v>
      </c>
      <c r="D16" s="108">
        <v>961</v>
      </c>
      <c r="E16" s="108">
        <v>17</v>
      </c>
      <c r="F16" s="108">
        <v>692</v>
      </c>
      <c r="G16" s="109">
        <f t="shared" si="0"/>
        <v>72.008324661810619</v>
      </c>
      <c r="H16" s="108">
        <v>148</v>
      </c>
      <c r="I16" s="108">
        <v>558</v>
      </c>
      <c r="J16" s="108">
        <v>18</v>
      </c>
      <c r="K16" s="108">
        <v>839</v>
      </c>
      <c r="L16" s="109">
        <f t="shared" si="1"/>
        <v>150.35842293906811</v>
      </c>
      <c r="M16" s="108">
        <f>H16+C16+'ACP_Agri_9(i)'!C16</f>
        <v>7993</v>
      </c>
      <c r="N16" s="108">
        <f>I16+D16+'ACP_Agri_9(i)'!D16</f>
        <v>24411.94</v>
      </c>
      <c r="O16" s="108">
        <f>J16+E16+'ACP_Agri_9(i)'!E16</f>
        <v>9618</v>
      </c>
      <c r="P16" s="108">
        <f>K16+F16+'ACP_Agri_9(i)'!F16</f>
        <v>20794</v>
      </c>
      <c r="Q16" s="109">
        <f t="shared" si="2"/>
        <v>85.179629312541323</v>
      </c>
      <c r="R16" s="120"/>
    </row>
    <row r="17" spans="1:18" x14ac:dyDescent="0.2">
      <c r="A17" s="65">
        <v>12</v>
      </c>
      <c r="B17" s="107" t="s">
        <v>63</v>
      </c>
      <c r="C17" s="108">
        <v>94</v>
      </c>
      <c r="D17" s="108">
        <v>472</v>
      </c>
      <c r="E17" s="108">
        <v>0</v>
      </c>
      <c r="F17" s="108">
        <v>0</v>
      </c>
      <c r="G17" s="109">
        <f t="shared" si="0"/>
        <v>0</v>
      </c>
      <c r="H17" s="108">
        <v>65</v>
      </c>
      <c r="I17" s="108">
        <v>274</v>
      </c>
      <c r="J17" s="108">
        <v>0</v>
      </c>
      <c r="K17" s="108">
        <v>0</v>
      </c>
      <c r="L17" s="109">
        <f t="shared" si="1"/>
        <v>0</v>
      </c>
      <c r="M17" s="108">
        <f>H17+C17+'ACP_Agri_9(i)'!C17</f>
        <v>3488</v>
      </c>
      <c r="N17" s="108">
        <f>I17+D17+'ACP_Agri_9(i)'!D17</f>
        <v>11973.65</v>
      </c>
      <c r="O17" s="108">
        <f>J17+E17+'ACP_Agri_9(i)'!E17</f>
        <v>2530</v>
      </c>
      <c r="P17" s="108">
        <f>K17+F17+'ACP_Agri_9(i)'!F17</f>
        <v>4115</v>
      </c>
      <c r="Q17" s="109">
        <f t="shared" si="2"/>
        <v>34.36713115883628</v>
      </c>
      <c r="R17" s="120"/>
    </row>
    <row r="18" spans="1:18" x14ac:dyDescent="0.2">
      <c r="A18" s="65">
        <v>13</v>
      </c>
      <c r="B18" s="107" t="s">
        <v>64</v>
      </c>
      <c r="C18" s="108">
        <v>110</v>
      </c>
      <c r="D18" s="108">
        <v>456</v>
      </c>
      <c r="E18" s="108">
        <v>0</v>
      </c>
      <c r="F18" s="108">
        <v>0</v>
      </c>
      <c r="G18" s="109">
        <f t="shared" si="0"/>
        <v>0</v>
      </c>
      <c r="H18" s="108">
        <v>75</v>
      </c>
      <c r="I18" s="108">
        <v>265</v>
      </c>
      <c r="J18" s="108">
        <v>51</v>
      </c>
      <c r="K18" s="108">
        <v>4764</v>
      </c>
      <c r="L18" s="109">
        <f t="shared" si="1"/>
        <v>1797.7358490566037</v>
      </c>
      <c r="M18" s="108">
        <f>H18+C18+'ACP_Agri_9(i)'!C18</f>
        <v>4069</v>
      </c>
      <c r="N18" s="108">
        <f>I18+D18+'ACP_Agri_9(i)'!D18</f>
        <v>11576.43</v>
      </c>
      <c r="O18" s="108">
        <f>J18+E18+'ACP_Agri_9(i)'!E18</f>
        <v>1915</v>
      </c>
      <c r="P18" s="108">
        <f>K18+F18+'ACP_Agri_9(i)'!F18</f>
        <v>8604</v>
      </c>
      <c r="Q18" s="109">
        <f t="shared" si="2"/>
        <v>74.323431316908582</v>
      </c>
      <c r="R18" s="120"/>
    </row>
    <row r="19" spans="1:18" x14ac:dyDescent="0.2">
      <c r="A19" s="65">
        <v>14</v>
      </c>
      <c r="B19" s="111" t="s">
        <v>208</v>
      </c>
      <c r="C19" s="108">
        <v>392</v>
      </c>
      <c r="D19" s="108">
        <v>1875</v>
      </c>
      <c r="E19" s="108">
        <v>50</v>
      </c>
      <c r="F19" s="108">
        <v>74.39</v>
      </c>
      <c r="G19" s="109">
        <f t="shared" si="0"/>
        <v>3.9674666666666667</v>
      </c>
      <c r="H19" s="108">
        <v>270</v>
      </c>
      <c r="I19" s="108">
        <v>1089</v>
      </c>
      <c r="J19" s="108">
        <v>159</v>
      </c>
      <c r="K19" s="108">
        <v>6878.55</v>
      </c>
      <c r="L19" s="109">
        <f t="shared" si="1"/>
        <v>631.63911845730024</v>
      </c>
      <c r="M19" s="108">
        <f>H19+C19+'ACP_Agri_9(i)'!C19</f>
        <v>14598</v>
      </c>
      <c r="N19" s="108">
        <f>I19+D19+'ACP_Agri_9(i)'!D19</f>
        <v>47604.09</v>
      </c>
      <c r="O19" s="108">
        <f>J19+E19+'ACP_Agri_9(i)'!E19</f>
        <v>4278</v>
      </c>
      <c r="P19" s="108">
        <f>K19+F19+'ACP_Agri_9(i)'!F19</f>
        <v>16944.79</v>
      </c>
      <c r="Q19" s="109">
        <f t="shared" si="2"/>
        <v>35.595239820780108</v>
      </c>
      <c r="R19" s="120"/>
    </row>
    <row r="20" spans="1:18" x14ac:dyDescent="0.2">
      <c r="A20" s="65">
        <v>15</v>
      </c>
      <c r="B20" s="107" t="s">
        <v>209</v>
      </c>
      <c r="C20" s="108">
        <v>174</v>
      </c>
      <c r="D20" s="108">
        <v>842</v>
      </c>
      <c r="E20" s="108">
        <v>0</v>
      </c>
      <c r="F20" s="108">
        <v>0</v>
      </c>
      <c r="G20" s="109">
        <f t="shared" si="0"/>
        <v>0</v>
      </c>
      <c r="H20" s="108">
        <v>120</v>
      </c>
      <c r="I20" s="108">
        <v>489</v>
      </c>
      <c r="J20" s="108">
        <v>0</v>
      </c>
      <c r="K20" s="108">
        <v>0</v>
      </c>
      <c r="L20" s="109">
        <f t="shared" si="1"/>
        <v>0</v>
      </c>
      <c r="M20" s="108">
        <f>H20+C20+'ACP_Agri_9(i)'!C20</f>
        <v>6439</v>
      </c>
      <c r="N20" s="108">
        <f>I20+D20+'ACP_Agri_9(i)'!D20</f>
        <v>21381.1</v>
      </c>
      <c r="O20" s="108">
        <f>J20+E20+'ACP_Agri_9(i)'!E20</f>
        <v>383</v>
      </c>
      <c r="P20" s="108">
        <f>K20+F20+'ACP_Agri_9(i)'!F20</f>
        <v>790.02</v>
      </c>
      <c r="Q20" s="109">
        <f t="shared" si="2"/>
        <v>3.6949455360107759</v>
      </c>
      <c r="R20" s="120"/>
    </row>
    <row r="21" spans="1:18" x14ac:dyDescent="0.2">
      <c r="A21" s="65">
        <v>16</v>
      </c>
      <c r="B21" s="107" t="s">
        <v>65</v>
      </c>
      <c r="C21" s="108">
        <v>2210</v>
      </c>
      <c r="D21" s="108">
        <v>10693</v>
      </c>
      <c r="E21" s="108">
        <v>1401</v>
      </c>
      <c r="F21" s="108">
        <v>2550</v>
      </c>
      <c r="G21" s="109">
        <f t="shared" si="0"/>
        <v>23.847376788553259</v>
      </c>
      <c r="H21" s="108">
        <v>1524</v>
      </c>
      <c r="I21" s="108">
        <v>6211</v>
      </c>
      <c r="J21" s="108">
        <v>6774</v>
      </c>
      <c r="K21" s="108">
        <v>16420</v>
      </c>
      <c r="L21" s="109">
        <f t="shared" si="1"/>
        <v>264.36966672033486</v>
      </c>
      <c r="M21" s="108">
        <f>H21+C21+'ACP_Agri_9(i)'!C21</f>
        <v>82310</v>
      </c>
      <c r="N21" s="108">
        <f>I21+D21+'ACP_Agri_9(i)'!D21</f>
        <v>271507.81</v>
      </c>
      <c r="O21" s="108">
        <f>J21+E21+'ACP_Agri_9(i)'!E21</f>
        <v>68156</v>
      </c>
      <c r="P21" s="108">
        <f>K21+F21+'ACP_Agri_9(i)'!F21</f>
        <v>159596</v>
      </c>
      <c r="Q21" s="109">
        <f t="shared" si="2"/>
        <v>58.781366178748229</v>
      </c>
      <c r="R21" s="120"/>
    </row>
    <row r="22" spans="1:18" x14ac:dyDescent="0.2">
      <c r="A22" s="65">
        <v>17</v>
      </c>
      <c r="B22" s="112" t="s">
        <v>70</v>
      </c>
      <c r="C22" s="108">
        <v>2</v>
      </c>
      <c r="D22" s="108">
        <v>9</v>
      </c>
      <c r="E22" s="108">
        <v>0</v>
      </c>
      <c r="F22" s="108">
        <v>0</v>
      </c>
      <c r="G22" s="109">
        <f t="shared" si="0"/>
        <v>0</v>
      </c>
      <c r="H22" s="108">
        <v>1</v>
      </c>
      <c r="I22" s="108">
        <v>5</v>
      </c>
      <c r="J22" s="108">
        <v>0</v>
      </c>
      <c r="K22" s="108">
        <v>0</v>
      </c>
      <c r="L22" s="109">
        <f t="shared" si="1"/>
        <v>0</v>
      </c>
      <c r="M22" s="108">
        <f>H22+C22+'ACP_Agri_9(i)'!C22</f>
        <v>68</v>
      </c>
      <c r="N22" s="108">
        <f>I22+D22+'ACP_Agri_9(i)'!D22</f>
        <v>237.17</v>
      </c>
      <c r="O22" s="108">
        <f>J22+E22+'ACP_Agri_9(i)'!E22</f>
        <v>0</v>
      </c>
      <c r="P22" s="108">
        <f>K22+F22+'ACP_Agri_9(i)'!F22</f>
        <v>0</v>
      </c>
      <c r="Q22" s="109">
        <f t="shared" si="2"/>
        <v>0</v>
      </c>
      <c r="R22" s="120"/>
    </row>
    <row r="23" spans="1:18" x14ac:dyDescent="0.2">
      <c r="A23" s="65">
        <v>18</v>
      </c>
      <c r="B23" s="107" t="s">
        <v>210</v>
      </c>
      <c r="C23" s="108">
        <v>1</v>
      </c>
      <c r="D23" s="108">
        <v>5</v>
      </c>
      <c r="E23" s="108">
        <v>0</v>
      </c>
      <c r="F23" s="108">
        <v>0</v>
      </c>
      <c r="G23" s="109">
        <f t="shared" si="0"/>
        <v>0</v>
      </c>
      <c r="H23" s="108">
        <v>1</v>
      </c>
      <c r="I23" s="108">
        <v>3</v>
      </c>
      <c r="J23" s="108">
        <v>0</v>
      </c>
      <c r="K23" s="108">
        <v>0</v>
      </c>
      <c r="L23" s="109">
        <f t="shared" si="1"/>
        <v>0</v>
      </c>
      <c r="M23" s="108">
        <f>H23+C23+'ACP_Agri_9(i)'!C23</f>
        <v>30</v>
      </c>
      <c r="N23" s="108">
        <f>I23+D23+'ACP_Agri_9(i)'!D23</f>
        <v>134.06</v>
      </c>
      <c r="O23" s="108">
        <f>J23+E23+'ACP_Agri_9(i)'!E23</f>
        <v>0</v>
      </c>
      <c r="P23" s="108">
        <f>K23+F23+'ACP_Agri_9(i)'!F23</f>
        <v>0</v>
      </c>
      <c r="Q23" s="109">
        <f t="shared" si="2"/>
        <v>0</v>
      </c>
      <c r="R23" s="120"/>
    </row>
    <row r="24" spans="1:18" x14ac:dyDescent="0.2">
      <c r="A24" s="65">
        <v>19</v>
      </c>
      <c r="B24" s="113" t="s">
        <v>211</v>
      </c>
      <c r="C24" s="108">
        <v>10</v>
      </c>
      <c r="D24" s="108">
        <v>27</v>
      </c>
      <c r="E24" s="108">
        <v>0</v>
      </c>
      <c r="F24" s="108">
        <v>0</v>
      </c>
      <c r="G24" s="109">
        <f t="shared" si="0"/>
        <v>0</v>
      </c>
      <c r="H24" s="108">
        <v>6</v>
      </c>
      <c r="I24" s="108">
        <v>16</v>
      </c>
      <c r="J24" s="108">
        <v>0</v>
      </c>
      <c r="K24" s="108">
        <v>0</v>
      </c>
      <c r="L24" s="109">
        <f t="shared" si="1"/>
        <v>0</v>
      </c>
      <c r="M24" s="108">
        <f>H24+C24+'ACP_Agri_9(i)'!C24</f>
        <v>337</v>
      </c>
      <c r="N24" s="108">
        <f>I24+D24+'ACP_Agri_9(i)'!D24</f>
        <v>681.35</v>
      </c>
      <c r="O24" s="108">
        <f>J24+E24+'ACP_Agri_9(i)'!E24</f>
        <v>0</v>
      </c>
      <c r="P24" s="108">
        <f>K24+F24+'ACP_Agri_9(i)'!F24</f>
        <v>0</v>
      </c>
      <c r="Q24" s="109">
        <f t="shared" si="2"/>
        <v>0</v>
      </c>
      <c r="R24" s="120"/>
    </row>
    <row r="25" spans="1:18" x14ac:dyDescent="0.2">
      <c r="A25" s="65">
        <v>20</v>
      </c>
      <c r="B25" s="107" t="s">
        <v>212</v>
      </c>
      <c r="C25" s="108">
        <v>4</v>
      </c>
      <c r="D25" s="108">
        <v>18</v>
      </c>
      <c r="E25" s="108">
        <v>0</v>
      </c>
      <c r="F25" s="108">
        <v>0</v>
      </c>
      <c r="G25" s="109">
        <f t="shared" si="0"/>
        <v>0</v>
      </c>
      <c r="H25" s="108">
        <v>2</v>
      </c>
      <c r="I25" s="108">
        <v>11</v>
      </c>
      <c r="J25" s="108">
        <v>0</v>
      </c>
      <c r="K25" s="108">
        <v>0</v>
      </c>
      <c r="L25" s="109">
        <f t="shared" si="1"/>
        <v>0</v>
      </c>
      <c r="M25" s="108">
        <f>H25+C25+'ACP_Agri_9(i)'!C25</f>
        <v>131</v>
      </c>
      <c r="N25" s="108">
        <f>I25+D25+'ACP_Agri_9(i)'!D25</f>
        <v>464.81</v>
      </c>
      <c r="O25" s="108">
        <f>J25+E25+'ACP_Agri_9(i)'!E25</f>
        <v>4</v>
      </c>
      <c r="P25" s="108">
        <f>K25+F25+'ACP_Agri_9(i)'!F25</f>
        <v>140</v>
      </c>
      <c r="Q25" s="109">
        <f t="shared" si="2"/>
        <v>30.119833910630149</v>
      </c>
      <c r="R25" s="120"/>
    </row>
    <row r="26" spans="1:18" x14ac:dyDescent="0.2">
      <c r="A26" s="65">
        <v>21</v>
      </c>
      <c r="B26" s="107" t="s">
        <v>213</v>
      </c>
      <c r="C26" s="108">
        <v>22</v>
      </c>
      <c r="D26" s="108">
        <v>123</v>
      </c>
      <c r="E26" s="108">
        <v>0</v>
      </c>
      <c r="F26" s="108">
        <v>0</v>
      </c>
      <c r="G26" s="109">
        <f t="shared" si="0"/>
        <v>0</v>
      </c>
      <c r="H26" s="108">
        <v>15</v>
      </c>
      <c r="I26" s="108">
        <v>71</v>
      </c>
      <c r="J26" s="108">
        <v>0</v>
      </c>
      <c r="K26" s="108">
        <v>0</v>
      </c>
      <c r="L26" s="109">
        <f t="shared" si="1"/>
        <v>0</v>
      </c>
      <c r="M26" s="108">
        <f>H26+C26+'ACP_Agri_9(i)'!C26</f>
        <v>796</v>
      </c>
      <c r="N26" s="108">
        <f>I26+D26+'ACP_Agri_9(i)'!D26</f>
        <v>3114.9</v>
      </c>
      <c r="O26" s="108">
        <f>J26+E26+'ACP_Agri_9(i)'!E26</f>
        <v>293</v>
      </c>
      <c r="P26" s="108">
        <f>K26+F26+'ACP_Agri_9(i)'!F26</f>
        <v>688</v>
      </c>
      <c r="Q26" s="109">
        <f t="shared" si="2"/>
        <v>22.087386432951298</v>
      </c>
      <c r="R26" s="120"/>
    </row>
    <row r="27" spans="1:18" x14ac:dyDescent="0.2">
      <c r="A27" s="65">
        <v>22</v>
      </c>
      <c r="B27" s="107" t="s">
        <v>71</v>
      </c>
      <c r="C27" s="108">
        <v>16282</v>
      </c>
      <c r="D27" s="108">
        <v>77569</v>
      </c>
      <c r="E27" s="108">
        <v>1249</v>
      </c>
      <c r="F27" s="108">
        <v>6571</v>
      </c>
      <c r="G27" s="109">
        <f t="shared" si="0"/>
        <v>8.471167605615646</v>
      </c>
      <c r="H27" s="108">
        <v>11224</v>
      </c>
      <c r="I27" s="108">
        <v>45056</v>
      </c>
      <c r="J27" s="108">
        <v>6363</v>
      </c>
      <c r="K27" s="108">
        <v>17564</v>
      </c>
      <c r="L27" s="109">
        <f t="shared" si="1"/>
        <v>38.98259943181818</v>
      </c>
      <c r="M27" s="108">
        <f>H27+C27+'ACP_Agri_9(i)'!C27</f>
        <v>606624</v>
      </c>
      <c r="N27" s="108">
        <f>I27+D27+'ACP_Agri_9(i)'!D27</f>
        <v>1968868.46</v>
      </c>
      <c r="O27" s="108">
        <f>J27+E27+'ACP_Agri_9(i)'!E27</f>
        <v>286850</v>
      </c>
      <c r="P27" s="108">
        <f>K27+F27+'ACP_Agri_9(i)'!F27</f>
        <v>568822</v>
      </c>
      <c r="Q27" s="109">
        <f t="shared" si="2"/>
        <v>28.890807667262852</v>
      </c>
      <c r="R27" s="120"/>
    </row>
    <row r="28" spans="1:18" x14ac:dyDescent="0.2">
      <c r="A28" s="65">
        <v>23</v>
      </c>
      <c r="B28" s="107" t="s">
        <v>66</v>
      </c>
      <c r="C28" s="108">
        <v>432</v>
      </c>
      <c r="D28" s="108">
        <v>1672</v>
      </c>
      <c r="E28" s="108">
        <v>6</v>
      </c>
      <c r="F28" s="108">
        <v>168</v>
      </c>
      <c r="G28" s="109">
        <f t="shared" si="0"/>
        <v>10.047846889952153</v>
      </c>
      <c r="H28" s="108">
        <v>298</v>
      </c>
      <c r="I28" s="108">
        <v>971</v>
      </c>
      <c r="J28" s="108">
        <v>53</v>
      </c>
      <c r="K28" s="108">
        <v>446</v>
      </c>
      <c r="L28" s="109">
        <f t="shared" si="1"/>
        <v>45.932028836251284</v>
      </c>
      <c r="M28" s="108">
        <f>H28+C28+'ACP_Agri_9(i)'!C28</f>
        <v>16104</v>
      </c>
      <c r="N28" s="108">
        <f>I28+D28+'ACP_Agri_9(i)'!D28</f>
        <v>42456.05</v>
      </c>
      <c r="O28" s="108">
        <f>J28+E28+'ACP_Agri_9(i)'!E28</f>
        <v>8343</v>
      </c>
      <c r="P28" s="108">
        <f>K28+F28+'ACP_Agri_9(i)'!F28</f>
        <v>12773</v>
      </c>
      <c r="Q28" s="109">
        <f t="shared" si="2"/>
        <v>30.085229313607833</v>
      </c>
      <c r="R28" s="120"/>
    </row>
    <row r="29" spans="1:18" x14ac:dyDescent="0.2">
      <c r="A29" s="65">
        <v>24</v>
      </c>
      <c r="B29" s="107" t="s">
        <v>214</v>
      </c>
      <c r="C29" s="108">
        <v>1166</v>
      </c>
      <c r="D29" s="108">
        <v>5514</v>
      </c>
      <c r="E29" s="108">
        <v>25</v>
      </c>
      <c r="F29" s="108">
        <v>76</v>
      </c>
      <c r="G29" s="109">
        <f t="shared" si="0"/>
        <v>1.3783097569822271</v>
      </c>
      <c r="H29" s="108">
        <v>804</v>
      </c>
      <c r="I29" s="108">
        <v>3203</v>
      </c>
      <c r="J29" s="108">
        <v>511</v>
      </c>
      <c r="K29" s="108">
        <v>862.98</v>
      </c>
      <c r="L29" s="109">
        <f t="shared" si="1"/>
        <v>26.942866063065875</v>
      </c>
      <c r="M29" s="108">
        <f>H29+C29+'ACP_Agri_9(i)'!C29</f>
        <v>43428</v>
      </c>
      <c r="N29" s="108">
        <f>I29+D29+'ACP_Agri_9(i)'!D29</f>
        <v>140007.79999999999</v>
      </c>
      <c r="O29" s="108">
        <f>J29+E29+'ACP_Agri_9(i)'!E29</f>
        <v>2964</v>
      </c>
      <c r="P29" s="108">
        <f>K29+F29+'ACP_Agri_9(i)'!F29</f>
        <v>6782.7800000000007</v>
      </c>
      <c r="Q29" s="109">
        <f t="shared" si="2"/>
        <v>4.8445729452216248</v>
      </c>
      <c r="R29" s="120"/>
    </row>
    <row r="30" spans="1:18" x14ac:dyDescent="0.2">
      <c r="A30" s="65">
        <v>25</v>
      </c>
      <c r="B30" s="110" t="s">
        <v>67</v>
      </c>
      <c r="C30" s="108">
        <v>2500</v>
      </c>
      <c r="D30" s="108">
        <v>8824</v>
      </c>
      <c r="E30" s="108">
        <v>183</v>
      </c>
      <c r="F30" s="108">
        <v>447</v>
      </c>
      <c r="G30" s="109">
        <f t="shared" si="0"/>
        <v>5.06572982774252</v>
      </c>
      <c r="H30" s="108">
        <v>1724</v>
      </c>
      <c r="I30" s="108">
        <v>5125</v>
      </c>
      <c r="J30" s="108">
        <v>434</v>
      </c>
      <c r="K30" s="108">
        <v>6433.67</v>
      </c>
      <c r="L30" s="109">
        <f t="shared" si="1"/>
        <v>125.5350243902439</v>
      </c>
      <c r="M30" s="108">
        <f>H30+C30+'ACP_Agri_9(i)'!C30</f>
        <v>93138</v>
      </c>
      <c r="N30" s="108">
        <f>I30+D30+'ACP_Agri_9(i)'!D30</f>
        <v>224049.66</v>
      </c>
      <c r="O30" s="108">
        <f>J30+E30+'ACP_Agri_9(i)'!E30</f>
        <v>14275</v>
      </c>
      <c r="P30" s="108">
        <f>K30+F30+'ACP_Agri_9(i)'!F30</f>
        <v>104058.69</v>
      </c>
      <c r="Q30" s="109">
        <f t="shared" si="2"/>
        <v>46.444475747028584</v>
      </c>
      <c r="R30" s="120"/>
    </row>
    <row r="31" spans="1:18" x14ac:dyDescent="0.2">
      <c r="A31" s="65">
        <v>26</v>
      </c>
      <c r="B31" s="107" t="s">
        <v>68</v>
      </c>
      <c r="C31" s="108">
        <v>30</v>
      </c>
      <c r="D31" s="108">
        <v>114</v>
      </c>
      <c r="E31" s="108">
        <v>30</v>
      </c>
      <c r="F31" s="108">
        <v>114</v>
      </c>
      <c r="G31" s="109">
        <f t="shared" si="0"/>
        <v>100</v>
      </c>
      <c r="H31" s="108">
        <v>20</v>
      </c>
      <c r="I31" s="108">
        <v>66</v>
      </c>
      <c r="J31" s="108">
        <v>20</v>
      </c>
      <c r="K31" s="108">
        <v>66</v>
      </c>
      <c r="L31" s="109">
        <f t="shared" si="1"/>
        <v>100</v>
      </c>
      <c r="M31" s="108">
        <f>H31+C31+'ACP_Agri_9(i)'!C31</f>
        <v>1068</v>
      </c>
      <c r="N31" s="108">
        <f>I31+D31+'ACP_Agri_9(i)'!D31</f>
        <v>2883.56</v>
      </c>
      <c r="O31" s="108">
        <f>J31+E31+'ACP_Agri_9(i)'!E31</f>
        <v>1068</v>
      </c>
      <c r="P31" s="108">
        <f>K31+F31+'ACP_Agri_9(i)'!F31</f>
        <v>1392</v>
      </c>
      <c r="Q31" s="109">
        <f t="shared" si="2"/>
        <v>48.273661723702645</v>
      </c>
      <c r="R31" s="120"/>
    </row>
    <row r="32" spans="1:18" x14ac:dyDescent="0.2">
      <c r="A32" s="65">
        <v>27</v>
      </c>
      <c r="B32" s="107" t="s">
        <v>51</v>
      </c>
      <c r="C32" s="108">
        <v>118</v>
      </c>
      <c r="D32" s="108">
        <v>552</v>
      </c>
      <c r="E32" s="108">
        <v>27</v>
      </c>
      <c r="F32" s="108">
        <v>96.45</v>
      </c>
      <c r="G32" s="109">
        <f t="shared" si="0"/>
        <v>17.472826086956523</v>
      </c>
      <c r="H32" s="108">
        <v>82</v>
      </c>
      <c r="I32" s="108">
        <v>321</v>
      </c>
      <c r="J32" s="108">
        <v>75</v>
      </c>
      <c r="K32" s="108">
        <v>123.55</v>
      </c>
      <c r="L32" s="109">
        <f t="shared" si="1"/>
        <v>38.48909657320872</v>
      </c>
      <c r="M32" s="108">
        <f>H32+C32+'ACP_Agri_9(i)'!C32</f>
        <v>4366</v>
      </c>
      <c r="N32" s="108">
        <f>I32+D32+'ACP_Agri_9(i)'!D32</f>
        <v>14019.41</v>
      </c>
      <c r="O32" s="108">
        <f>J32+E32+'ACP_Agri_9(i)'!E32</f>
        <v>2775</v>
      </c>
      <c r="P32" s="108">
        <f>K32+F32+'ACP_Agri_9(i)'!F32</f>
        <v>3759</v>
      </c>
      <c r="Q32" s="109">
        <f t="shared" si="2"/>
        <v>26.812825932047069</v>
      </c>
      <c r="R32" s="120"/>
    </row>
    <row r="33" spans="1:18" s="117" customFormat="1" x14ac:dyDescent="0.2">
      <c r="A33" s="382"/>
      <c r="B33" s="114" t="s">
        <v>215</v>
      </c>
      <c r="C33" s="115">
        <f>SUM(C6:C32)</f>
        <v>39165</v>
      </c>
      <c r="D33" s="115">
        <f t="shared" ref="D33:N33" si="3">SUM(D6:D32)</f>
        <v>181665</v>
      </c>
      <c r="E33" s="115">
        <f t="shared" si="3"/>
        <v>19336</v>
      </c>
      <c r="F33" s="115">
        <f t="shared" si="3"/>
        <v>49379.02</v>
      </c>
      <c r="G33" s="106">
        <f t="shared" si="0"/>
        <v>27.181361296892632</v>
      </c>
      <c r="H33" s="115">
        <f t="shared" si="3"/>
        <v>29989</v>
      </c>
      <c r="I33" s="115">
        <f t="shared" si="3"/>
        <v>105505</v>
      </c>
      <c r="J33" s="115">
        <f t="shared" si="3"/>
        <v>36072</v>
      </c>
      <c r="K33" s="115">
        <f t="shared" si="3"/>
        <v>93426.5</v>
      </c>
      <c r="L33" s="106">
        <f t="shared" si="1"/>
        <v>88.551727406284058</v>
      </c>
      <c r="M33" s="115">
        <f t="shared" si="3"/>
        <v>1461408</v>
      </c>
      <c r="N33" s="115">
        <f t="shared" si="3"/>
        <v>4611426.26</v>
      </c>
      <c r="O33" s="115">
        <f>J33+E33+'ACP_Agri_9(i)'!E33</f>
        <v>1204756</v>
      </c>
      <c r="P33" s="115">
        <f>K33+F33+'ACP_Agri_9(i)'!F33</f>
        <v>1770094.05</v>
      </c>
      <c r="Q33" s="106">
        <f t="shared" si="2"/>
        <v>38.384958366438241</v>
      </c>
      <c r="R33" s="121"/>
    </row>
    <row r="34" spans="1:18" x14ac:dyDescent="0.2">
      <c r="A34" s="65">
        <v>28</v>
      </c>
      <c r="B34" s="107" t="s">
        <v>48</v>
      </c>
      <c r="C34" s="108">
        <v>644</v>
      </c>
      <c r="D34" s="108">
        <v>2736</v>
      </c>
      <c r="E34" s="108">
        <v>265</v>
      </c>
      <c r="F34" s="108">
        <v>1104.5999999999999</v>
      </c>
      <c r="G34" s="109">
        <f t="shared" si="0"/>
        <v>40.372807017543856</v>
      </c>
      <c r="H34" s="108">
        <v>444</v>
      </c>
      <c r="I34" s="108">
        <v>1589</v>
      </c>
      <c r="J34" s="108">
        <v>13</v>
      </c>
      <c r="K34" s="108">
        <v>202.18</v>
      </c>
      <c r="L34" s="109">
        <f t="shared" si="1"/>
        <v>12.723725613593455</v>
      </c>
      <c r="M34" s="108">
        <f>H34+C34+'ACP_Agri_9(i)'!C34</f>
        <v>23960</v>
      </c>
      <c r="N34" s="108">
        <f>I34+D34+'ACP_Agri_9(i)'!D34</f>
        <v>69477.83</v>
      </c>
      <c r="O34" s="108">
        <f>J34+E34+'ACP_Agri_9(i)'!E34</f>
        <v>34529</v>
      </c>
      <c r="P34" s="108">
        <f>K34+F34+'ACP_Agri_9(i)'!F34</f>
        <v>20861.53</v>
      </c>
      <c r="Q34" s="109">
        <f t="shared" si="2"/>
        <v>30.026168059652985</v>
      </c>
      <c r="R34" s="120"/>
    </row>
    <row r="35" spans="1:18" x14ac:dyDescent="0.2">
      <c r="A35" s="65">
        <v>29</v>
      </c>
      <c r="B35" s="66" t="s">
        <v>216</v>
      </c>
      <c r="C35" s="108">
        <v>112</v>
      </c>
      <c r="D35" s="108">
        <v>173</v>
      </c>
      <c r="E35" s="108">
        <v>0</v>
      </c>
      <c r="F35" s="108">
        <v>0</v>
      </c>
      <c r="G35" s="109">
        <f t="shared" si="0"/>
        <v>0</v>
      </c>
      <c r="H35" s="108">
        <v>32</v>
      </c>
      <c r="I35" s="108">
        <v>128</v>
      </c>
      <c r="J35" s="108">
        <v>0</v>
      </c>
      <c r="K35" s="108">
        <v>0</v>
      </c>
      <c r="L35" s="109">
        <f t="shared" si="1"/>
        <v>0</v>
      </c>
      <c r="M35" s="108">
        <f>H35+C35+'ACP_Agri_9(i)'!C35</f>
        <v>839</v>
      </c>
      <c r="N35" s="108">
        <f>I35+D35+'ACP_Agri_9(i)'!D35</f>
        <v>817.98</v>
      </c>
      <c r="O35" s="108">
        <f>J35+E35+'ACP_Agri_9(i)'!E35</f>
        <v>3485</v>
      </c>
      <c r="P35" s="108">
        <f>K35+F35+'ACP_Agri_9(i)'!F35</f>
        <v>1254</v>
      </c>
      <c r="Q35" s="109">
        <f t="shared" si="2"/>
        <v>153.30448177217048</v>
      </c>
      <c r="R35" s="120"/>
    </row>
    <row r="36" spans="1:18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9">
        <v>0</v>
      </c>
      <c r="H36" s="108"/>
      <c r="I36" s="108"/>
      <c r="J36" s="108">
        <v>0</v>
      </c>
      <c r="K36" s="108">
        <v>0</v>
      </c>
      <c r="L36" s="109">
        <v>0</v>
      </c>
      <c r="M36" s="108">
        <f>H36+C36+'ACP_Agri_9(i)'!C36</f>
        <v>0</v>
      </c>
      <c r="N36" s="108">
        <f>I36+D36+'ACP_Agri_9(i)'!D36</f>
        <v>0</v>
      </c>
      <c r="O36" s="108">
        <f>J36+E36+'ACP_Agri_9(i)'!E36</f>
        <v>0</v>
      </c>
      <c r="P36" s="108">
        <f>K36+F36+'ACP_Agri_9(i)'!F36</f>
        <v>0</v>
      </c>
      <c r="Q36" s="109">
        <v>0</v>
      </c>
      <c r="R36" s="120"/>
    </row>
    <row r="37" spans="1:18" x14ac:dyDescent="0.2">
      <c r="A37" s="65">
        <v>31</v>
      </c>
      <c r="B37" s="107" t="s">
        <v>79</v>
      </c>
      <c r="C37" s="108">
        <v>0</v>
      </c>
      <c r="D37" s="108">
        <v>0</v>
      </c>
      <c r="E37" s="108">
        <v>0</v>
      </c>
      <c r="F37" s="108">
        <v>0</v>
      </c>
      <c r="G37" s="109">
        <v>0</v>
      </c>
      <c r="H37" s="108"/>
      <c r="I37" s="108"/>
      <c r="J37" s="108">
        <v>0</v>
      </c>
      <c r="K37" s="108">
        <v>0</v>
      </c>
      <c r="L37" s="109">
        <v>0</v>
      </c>
      <c r="M37" s="108">
        <f>H37+C37+'ACP_Agri_9(i)'!C37</f>
        <v>0</v>
      </c>
      <c r="N37" s="108">
        <f>I37+D37+'ACP_Agri_9(i)'!D37</f>
        <v>0</v>
      </c>
      <c r="O37" s="108">
        <f>J37+E37+'ACP_Agri_9(i)'!E37</f>
        <v>0</v>
      </c>
      <c r="P37" s="108">
        <f>K37+F37+'ACP_Agri_9(i)'!F37</f>
        <v>0</v>
      </c>
      <c r="Q37" s="109">
        <v>0</v>
      </c>
      <c r="R37" s="120"/>
    </row>
    <row r="38" spans="1:18" x14ac:dyDescent="0.2">
      <c r="A38" s="65">
        <v>32</v>
      </c>
      <c r="B38" s="107" t="s">
        <v>52</v>
      </c>
      <c r="C38" s="108">
        <v>0</v>
      </c>
      <c r="D38" s="108">
        <v>0</v>
      </c>
      <c r="E38" s="108">
        <v>0</v>
      </c>
      <c r="F38" s="108">
        <v>0</v>
      </c>
      <c r="G38" s="109">
        <v>0</v>
      </c>
      <c r="H38" s="108">
        <v>0</v>
      </c>
      <c r="I38" s="108">
        <v>0</v>
      </c>
      <c r="J38" s="108">
        <v>1</v>
      </c>
      <c r="K38" s="108">
        <v>8.48</v>
      </c>
      <c r="L38" s="109">
        <v>0</v>
      </c>
      <c r="M38" s="108">
        <f>H38+C38+'ACP_Agri_9(i)'!C38</f>
        <v>0</v>
      </c>
      <c r="N38" s="108">
        <f>I38+D38+'ACP_Agri_9(i)'!D38</f>
        <v>0</v>
      </c>
      <c r="O38" s="108">
        <f>J38+E38+'ACP_Agri_9(i)'!E38</f>
        <v>1</v>
      </c>
      <c r="P38" s="108">
        <f>K38+F38+'ACP_Agri_9(i)'!F38</f>
        <v>8.48</v>
      </c>
      <c r="Q38" s="109">
        <v>0</v>
      </c>
      <c r="R38" s="120"/>
    </row>
    <row r="39" spans="1:18" x14ac:dyDescent="0.2">
      <c r="A39" s="65">
        <v>33</v>
      </c>
      <c r="B39" s="107" t="s">
        <v>218</v>
      </c>
      <c r="C39" s="108">
        <v>11</v>
      </c>
      <c r="D39" s="108">
        <v>37</v>
      </c>
      <c r="E39" s="108">
        <v>0</v>
      </c>
      <c r="F39" s="108">
        <v>0</v>
      </c>
      <c r="G39" s="109">
        <f t="shared" si="0"/>
        <v>0</v>
      </c>
      <c r="H39" s="108">
        <v>8</v>
      </c>
      <c r="I39" s="108">
        <v>21</v>
      </c>
      <c r="J39" s="108">
        <v>0</v>
      </c>
      <c r="K39" s="108">
        <v>0</v>
      </c>
      <c r="L39" s="109">
        <f t="shared" si="1"/>
        <v>0</v>
      </c>
      <c r="M39" s="108">
        <f>H39+C39+'ACP_Agri_9(i)'!C39</f>
        <v>420</v>
      </c>
      <c r="N39" s="108">
        <f>I39+D39+'ACP_Agri_9(i)'!D39</f>
        <v>931.08</v>
      </c>
      <c r="O39" s="108">
        <f>J39+E39+'ACP_Agri_9(i)'!E39</f>
        <v>0</v>
      </c>
      <c r="P39" s="108">
        <f>K39+F39+'ACP_Agri_9(i)'!F39</f>
        <v>0</v>
      </c>
      <c r="Q39" s="109">
        <f t="shared" si="2"/>
        <v>0</v>
      </c>
      <c r="R39" s="120"/>
    </row>
    <row r="40" spans="1:18" x14ac:dyDescent="0.2">
      <c r="A40" s="65">
        <v>34</v>
      </c>
      <c r="B40" s="107" t="s">
        <v>219</v>
      </c>
      <c r="C40" s="108">
        <v>1</v>
      </c>
      <c r="D40" s="108">
        <v>5</v>
      </c>
      <c r="E40" s="108">
        <v>0</v>
      </c>
      <c r="F40" s="108">
        <v>0</v>
      </c>
      <c r="G40" s="109">
        <f t="shared" si="0"/>
        <v>0</v>
      </c>
      <c r="H40" s="108">
        <v>1</v>
      </c>
      <c r="I40" s="108">
        <v>3</v>
      </c>
      <c r="J40" s="108">
        <v>0</v>
      </c>
      <c r="K40" s="108">
        <v>0</v>
      </c>
      <c r="L40" s="109">
        <f t="shared" si="1"/>
        <v>0</v>
      </c>
      <c r="M40" s="108">
        <f>H40+C40+'ACP_Agri_9(i)'!C40</f>
        <v>30</v>
      </c>
      <c r="N40" s="108">
        <f>I40+D40+'ACP_Agri_9(i)'!D40</f>
        <v>134.06</v>
      </c>
      <c r="O40" s="108">
        <f>J40+E40+'ACP_Agri_9(i)'!E40</f>
        <v>0</v>
      </c>
      <c r="P40" s="108">
        <f>K40+F40+'ACP_Agri_9(i)'!F40</f>
        <v>0</v>
      </c>
      <c r="Q40" s="109">
        <f t="shared" si="2"/>
        <v>0</v>
      </c>
      <c r="R40" s="120"/>
    </row>
    <row r="41" spans="1:18" x14ac:dyDescent="0.2">
      <c r="A41" s="65">
        <v>35</v>
      </c>
      <c r="B41" s="107" t="s">
        <v>220</v>
      </c>
      <c r="C41" s="108">
        <v>20</v>
      </c>
      <c r="D41" s="108">
        <v>115</v>
      </c>
      <c r="E41" s="108">
        <v>1</v>
      </c>
      <c r="F41" s="108">
        <v>40.020000000000003</v>
      </c>
      <c r="G41" s="109">
        <f t="shared" si="0"/>
        <v>34.800000000000004</v>
      </c>
      <c r="H41" s="108">
        <v>14</v>
      </c>
      <c r="I41" s="108">
        <v>67</v>
      </c>
      <c r="J41" s="108">
        <v>1206</v>
      </c>
      <c r="K41" s="108">
        <v>1845.2</v>
      </c>
      <c r="L41" s="109">
        <f t="shared" si="1"/>
        <v>2754.0298507462685</v>
      </c>
      <c r="M41" s="108">
        <f>H41+C41+'ACP_Agri_9(i)'!C41</f>
        <v>706</v>
      </c>
      <c r="N41" s="108">
        <f>I41+D41+'ACP_Agri_9(i)'!D41</f>
        <v>2918.89</v>
      </c>
      <c r="O41" s="108">
        <f>J41+E41+'ACP_Agri_9(i)'!E41</f>
        <v>2610</v>
      </c>
      <c r="P41" s="108">
        <f>K41+F41+'ACP_Agri_9(i)'!F41</f>
        <v>4333.72</v>
      </c>
      <c r="Q41" s="109">
        <f t="shared" si="2"/>
        <v>148.47150800475524</v>
      </c>
      <c r="R41" s="120"/>
    </row>
    <row r="42" spans="1:18" x14ac:dyDescent="0.2">
      <c r="A42" s="65">
        <v>36</v>
      </c>
      <c r="B42" s="107" t="s">
        <v>72</v>
      </c>
      <c r="C42" s="108">
        <v>830</v>
      </c>
      <c r="D42" s="108">
        <v>4638</v>
      </c>
      <c r="E42" s="108">
        <v>9</v>
      </c>
      <c r="F42" s="108">
        <v>180</v>
      </c>
      <c r="G42" s="109">
        <f t="shared" si="0"/>
        <v>3.8809831824062098</v>
      </c>
      <c r="H42" s="108">
        <v>572</v>
      </c>
      <c r="I42" s="108">
        <v>2694</v>
      </c>
      <c r="J42" s="108">
        <v>452</v>
      </c>
      <c r="K42" s="108">
        <v>22114</v>
      </c>
      <c r="L42" s="109">
        <f t="shared" si="1"/>
        <v>820.86117297698593</v>
      </c>
      <c r="M42" s="108">
        <f>H42+C42+'ACP_Agri_9(i)'!C42</f>
        <v>30928</v>
      </c>
      <c r="N42" s="108">
        <f>I42+D42+'ACP_Agri_9(i)'!D42</f>
        <v>117760.58</v>
      </c>
      <c r="O42" s="108">
        <f>J42+E42+'ACP_Agri_9(i)'!E42</f>
        <v>27001</v>
      </c>
      <c r="P42" s="108">
        <f>K42+F42+'ACP_Agri_9(i)'!F42</f>
        <v>113476</v>
      </c>
      <c r="Q42" s="109">
        <f t="shared" si="2"/>
        <v>96.361617784151534</v>
      </c>
      <c r="R42" s="120"/>
    </row>
    <row r="43" spans="1:18" x14ac:dyDescent="0.2">
      <c r="A43" s="65">
        <v>37</v>
      </c>
      <c r="B43" s="107" t="s">
        <v>73</v>
      </c>
      <c r="C43" s="108">
        <v>868</v>
      </c>
      <c r="D43" s="108">
        <v>4431</v>
      </c>
      <c r="E43" s="108">
        <v>253</v>
      </c>
      <c r="F43" s="108">
        <v>5505</v>
      </c>
      <c r="G43" s="109">
        <f t="shared" si="0"/>
        <v>124.23832092078537</v>
      </c>
      <c r="H43" s="108">
        <v>566</v>
      </c>
      <c r="I43" s="108">
        <v>2573</v>
      </c>
      <c r="J43" s="108">
        <v>631</v>
      </c>
      <c r="K43" s="108">
        <v>13763</v>
      </c>
      <c r="L43" s="109">
        <f t="shared" si="1"/>
        <v>534.90089389817331</v>
      </c>
      <c r="M43" s="108">
        <f>H43+C43+'ACP_Agri_9(i)'!C43</f>
        <v>32319</v>
      </c>
      <c r="N43" s="108">
        <f>I43+D43+'ACP_Agri_9(i)'!D43</f>
        <v>112497.41</v>
      </c>
      <c r="O43" s="108">
        <f>J43+E43+'ACP_Agri_9(i)'!E43</f>
        <v>63129</v>
      </c>
      <c r="P43" s="108">
        <f>K43+F43+'ACP_Agri_9(i)'!F43</f>
        <v>137629</v>
      </c>
      <c r="Q43" s="109">
        <f t="shared" si="2"/>
        <v>122.33970542077368</v>
      </c>
      <c r="R43" s="120"/>
    </row>
    <row r="44" spans="1:18" x14ac:dyDescent="0.2">
      <c r="A44" s="65">
        <v>38</v>
      </c>
      <c r="B44" s="107" t="s">
        <v>221</v>
      </c>
      <c r="C44" s="108">
        <v>0</v>
      </c>
      <c r="D44" s="108">
        <v>0</v>
      </c>
      <c r="E44" s="108">
        <v>0</v>
      </c>
      <c r="F44" s="108">
        <v>0</v>
      </c>
      <c r="G44" s="109">
        <v>0</v>
      </c>
      <c r="H44" s="108"/>
      <c r="I44" s="108"/>
      <c r="J44" s="108">
        <v>0</v>
      </c>
      <c r="K44" s="108">
        <v>0</v>
      </c>
      <c r="L44" s="109">
        <v>0</v>
      </c>
      <c r="M44" s="108">
        <f>H44+C44+'ACP_Agri_9(i)'!C44</f>
        <v>0</v>
      </c>
      <c r="N44" s="108">
        <f>I44+D44+'ACP_Agri_9(i)'!D44</f>
        <v>0</v>
      </c>
      <c r="O44" s="108">
        <f>J44+E44+'ACP_Agri_9(i)'!E44</f>
        <v>0</v>
      </c>
      <c r="P44" s="108">
        <f>K44+F44+'ACP_Agri_9(i)'!F44</f>
        <v>0</v>
      </c>
      <c r="Q44" s="109">
        <v>0</v>
      </c>
      <c r="R44" s="120"/>
    </row>
    <row r="45" spans="1:18" x14ac:dyDescent="0.2">
      <c r="A45" s="65">
        <v>39</v>
      </c>
      <c r="B45" s="107" t="s">
        <v>222</v>
      </c>
      <c r="C45" s="108">
        <v>72</v>
      </c>
      <c r="D45" s="108">
        <v>248</v>
      </c>
      <c r="E45" s="108">
        <v>0</v>
      </c>
      <c r="F45" s="108">
        <v>0</v>
      </c>
      <c r="G45" s="109">
        <f t="shared" si="0"/>
        <v>0</v>
      </c>
      <c r="H45" s="108">
        <v>50</v>
      </c>
      <c r="I45" s="108">
        <v>144</v>
      </c>
      <c r="J45" s="108">
        <v>9</v>
      </c>
      <c r="K45" s="108">
        <v>802.28</v>
      </c>
      <c r="L45" s="109">
        <f t="shared" si="1"/>
        <v>557.13888888888891</v>
      </c>
      <c r="M45" s="108">
        <f>H45+C45+'ACP_Agri_9(i)'!C45</f>
        <v>2639</v>
      </c>
      <c r="N45" s="108">
        <f>I45+D45+'ACP_Agri_9(i)'!D45</f>
        <v>6304.73</v>
      </c>
      <c r="O45" s="108">
        <f>J45+E45+'ACP_Agri_9(i)'!E45</f>
        <v>5751</v>
      </c>
      <c r="P45" s="108">
        <f>K45+F45+'ACP_Agri_9(i)'!F45</f>
        <v>12273.28</v>
      </c>
      <c r="Q45" s="109">
        <f t="shared" si="2"/>
        <v>194.66781289603205</v>
      </c>
      <c r="R45" s="120"/>
    </row>
    <row r="46" spans="1:18" x14ac:dyDescent="0.2">
      <c r="A46" s="65">
        <v>40</v>
      </c>
      <c r="B46" s="107" t="s">
        <v>223</v>
      </c>
      <c r="C46" s="108">
        <v>2</v>
      </c>
      <c r="D46" s="108">
        <v>13</v>
      </c>
      <c r="E46" s="108">
        <v>0</v>
      </c>
      <c r="F46" s="108">
        <v>0</v>
      </c>
      <c r="G46" s="109">
        <f t="shared" si="0"/>
        <v>0</v>
      </c>
      <c r="H46" s="108">
        <v>1</v>
      </c>
      <c r="I46" s="108">
        <v>8</v>
      </c>
      <c r="J46" s="108">
        <v>0</v>
      </c>
      <c r="K46" s="108">
        <v>0</v>
      </c>
      <c r="L46" s="109">
        <f t="shared" si="1"/>
        <v>0</v>
      </c>
      <c r="M46" s="108">
        <f>H46+C46+'ACP_Agri_9(i)'!C46</f>
        <v>77</v>
      </c>
      <c r="N46" s="108">
        <f>I46+D46+'ACP_Agri_9(i)'!D46</f>
        <v>340.68</v>
      </c>
      <c r="O46" s="108">
        <f>J46+E46+'ACP_Agri_9(i)'!E46</f>
        <v>4</v>
      </c>
      <c r="P46" s="108">
        <f>K46+F46+'ACP_Agri_9(i)'!F46</f>
        <v>20</v>
      </c>
      <c r="Q46" s="109">
        <f t="shared" si="2"/>
        <v>5.8706117177409887</v>
      </c>
      <c r="R46" s="120"/>
    </row>
    <row r="47" spans="1:18" x14ac:dyDescent="0.2">
      <c r="A47" s="65">
        <v>41</v>
      </c>
      <c r="B47" s="107" t="s">
        <v>224</v>
      </c>
      <c r="C47" s="108">
        <v>12</v>
      </c>
      <c r="D47" s="108">
        <v>46</v>
      </c>
      <c r="E47" s="108">
        <v>6</v>
      </c>
      <c r="F47" s="108">
        <v>293.76</v>
      </c>
      <c r="G47" s="109">
        <f t="shared" si="0"/>
        <v>638.60869565217388</v>
      </c>
      <c r="H47" s="108">
        <v>8</v>
      </c>
      <c r="I47" s="108">
        <v>27</v>
      </c>
      <c r="J47" s="108">
        <v>4</v>
      </c>
      <c r="K47" s="108">
        <v>55.07</v>
      </c>
      <c r="L47" s="109">
        <f t="shared" si="1"/>
        <v>203.96296296296296</v>
      </c>
      <c r="M47" s="108">
        <f>H47+C47+'ACP_Agri_9(i)'!C47</f>
        <v>404</v>
      </c>
      <c r="N47" s="108">
        <f>I47+D47+'ACP_Agri_9(i)'!D47</f>
        <v>1180.02</v>
      </c>
      <c r="O47" s="108">
        <f>J47+E47+'ACP_Agri_9(i)'!E47</f>
        <v>98</v>
      </c>
      <c r="P47" s="108">
        <f>K47+F47+'ACP_Agri_9(i)'!F47</f>
        <v>1180.83</v>
      </c>
      <c r="Q47" s="109">
        <f t="shared" si="2"/>
        <v>100.06864290435756</v>
      </c>
      <c r="R47" s="120"/>
    </row>
    <row r="48" spans="1:18" x14ac:dyDescent="0.2">
      <c r="A48" s="65">
        <v>42</v>
      </c>
      <c r="B48" s="116" t="s">
        <v>225</v>
      </c>
      <c r="C48" s="108">
        <v>0</v>
      </c>
      <c r="D48" s="108">
        <v>0</v>
      </c>
      <c r="E48" s="108">
        <v>0</v>
      </c>
      <c r="F48" s="108">
        <v>0</v>
      </c>
      <c r="G48" s="109">
        <v>0</v>
      </c>
      <c r="H48" s="108">
        <v>0</v>
      </c>
      <c r="I48" s="108">
        <v>0</v>
      </c>
      <c r="J48" s="108">
        <v>0</v>
      </c>
      <c r="K48" s="108">
        <v>0</v>
      </c>
      <c r="L48" s="109">
        <v>0</v>
      </c>
      <c r="M48" s="108">
        <f>H48+C48+'ACP_Agri_9(i)'!C48</f>
        <v>0</v>
      </c>
      <c r="N48" s="108">
        <f>I48+D48+'ACP_Agri_9(i)'!D48</f>
        <v>0</v>
      </c>
      <c r="O48" s="108">
        <f>J48+E48+'ACP_Agri_9(i)'!E48</f>
        <v>0</v>
      </c>
      <c r="P48" s="108">
        <f>K48+F48+'ACP_Agri_9(i)'!F48</f>
        <v>0</v>
      </c>
      <c r="Q48" s="109">
        <v>0</v>
      </c>
      <c r="R48" s="120"/>
    </row>
    <row r="49" spans="1:18" x14ac:dyDescent="0.2">
      <c r="A49" s="65">
        <v>43</v>
      </c>
      <c r="B49" s="107" t="s">
        <v>74</v>
      </c>
      <c r="C49" s="108">
        <v>136</v>
      </c>
      <c r="D49" s="108">
        <v>832</v>
      </c>
      <c r="E49" s="108">
        <v>532</v>
      </c>
      <c r="F49" s="108">
        <v>728</v>
      </c>
      <c r="G49" s="109">
        <f t="shared" si="0"/>
        <v>87.5</v>
      </c>
      <c r="H49" s="108">
        <v>93</v>
      </c>
      <c r="I49" s="108">
        <v>483</v>
      </c>
      <c r="J49" s="108">
        <v>567</v>
      </c>
      <c r="K49" s="108">
        <v>6863</v>
      </c>
      <c r="L49" s="109">
        <f t="shared" si="1"/>
        <v>1420.9109730848861</v>
      </c>
      <c r="M49" s="108">
        <f>H49+C49+'ACP_Agri_9(i)'!C49</f>
        <v>5031</v>
      </c>
      <c r="N49" s="108">
        <f>I49+D49+'ACP_Agri_9(i)'!D49</f>
        <v>21115.97</v>
      </c>
      <c r="O49" s="108">
        <f>J49+E49+'ACP_Agri_9(i)'!E49</f>
        <v>8192</v>
      </c>
      <c r="P49" s="108">
        <f>K49+F49+'ACP_Agri_9(i)'!F49</f>
        <v>17065</v>
      </c>
      <c r="Q49" s="109">
        <f t="shared" si="2"/>
        <v>80.815610175615888</v>
      </c>
      <c r="R49" s="120"/>
    </row>
    <row r="50" spans="1:18" x14ac:dyDescent="0.2">
      <c r="A50" s="65">
        <v>44</v>
      </c>
      <c r="B50" s="107" t="s">
        <v>226</v>
      </c>
      <c r="C50" s="108">
        <v>0</v>
      </c>
      <c r="D50" s="108">
        <v>0</v>
      </c>
      <c r="E50" s="108">
        <v>0</v>
      </c>
      <c r="F50" s="108">
        <v>0</v>
      </c>
      <c r="G50" s="109">
        <v>0</v>
      </c>
      <c r="H50" s="108">
        <v>0</v>
      </c>
      <c r="I50" s="108">
        <v>0</v>
      </c>
      <c r="J50" s="108">
        <v>0</v>
      </c>
      <c r="K50" s="108">
        <v>0</v>
      </c>
      <c r="L50" s="109">
        <v>0</v>
      </c>
      <c r="M50" s="108">
        <f>H50+C50+'ACP_Agri_9(i)'!C50</f>
        <v>0</v>
      </c>
      <c r="N50" s="108">
        <f>I50+D50+'ACP_Agri_9(i)'!D50</f>
        <v>0</v>
      </c>
      <c r="O50" s="108">
        <f>J50+E50+'ACP_Agri_9(i)'!E50</f>
        <v>0</v>
      </c>
      <c r="P50" s="108">
        <f>K50+F50+'ACP_Agri_9(i)'!F50</f>
        <v>0</v>
      </c>
      <c r="Q50" s="109">
        <v>0</v>
      </c>
      <c r="R50" s="120"/>
    </row>
    <row r="51" spans="1:18" x14ac:dyDescent="0.2">
      <c r="A51" s="65">
        <v>45</v>
      </c>
      <c r="B51" s="107" t="s">
        <v>227</v>
      </c>
      <c r="C51" s="108">
        <v>16</v>
      </c>
      <c r="D51" s="108">
        <v>50</v>
      </c>
      <c r="E51" s="108">
        <v>27</v>
      </c>
      <c r="F51" s="108">
        <v>616</v>
      </c>
      <c r="G51" s="109">
        <f t="shared" si="0"/>
        <v>1232</v>
      </c>
      <c r="H51" s="108">
        <v>10</v>
      </c>
      <c r="I51" s="108">
        <v>29</v>
      </c>
      <c r="J51" s="108">
        <v>54</v>
      </c>
      <c r="K51" s="108">
        <v>2067</v>
      </c>
      <c r="L51" s="109">
        <f t="shared" si="1"/>
        <v>7127.5862068965516</v>
      </c>
      <c r="M51" s="108">
        <f>H51+C51+'ACP_Agri_9(i)'!C51</f>
        <v>553</v>
      </c>
      <c r="N51" s="108">
        <f>I51+D51+'ACP_Agri_9(i)'!D51</f>
        <v>1258.51</v>
      </c>
      <c r="O51" s="108">
        <f>J51+E51+'ACP_Agri_9(i)'!E51</f>
        <v>1862</v>
      </c>
      <c r="P51" s="108">
        <f>K51+F51+'ACP_Agri_9(i)'!F51</f>
        <v>7364</v>
      </c>
      <c r="Q51" s="109">
        <f t="shared" si="2"/>
        <v>585.13639144702859</v>
      </c>
      <c r="R51" s="120"/>
    </row>
    <row r="52" spans="1:18" x14ac:dyDescent="0.2">
      <c r="A52" s="65">
        <v>46</v>
      </c>
      <c r="B52" s="107" t="s">
        <v>228</v>
      </c>
      <c r="C52" s="108">
        <v>1</v>
      </c>
      <c r="D52" s="108">
        <v>5</v>
      </c>
      <c r="E52" s="108">
        <v>0</v>
      </c>
      <c r="F52" s="108">
        <v>0</v>
      </c>
      <c r="G52" s="109">
        <f t="shared" si="0"/>
        <v>0</v>
      </c>
      <c r="H52" s="108">
        <v>1</v>
      </c>
      <c r="I52" s="108">
        <v>3</v>
      </c>
      <c r="J52" s="108">
        <v>0</v>
      </c>
      <c r="K52" s="108">
        <v>0</v>
      </c>
      <c r="L52" s="109">
        <f t="shared" si="1"/>
        <v>0</v>
      </c>
      <c r="M52" s="108">
        <f>H52+C52+'ACP_Agri_9(i)'!C52</f>
        <v>30</v>
      </c>
      <c r="N52" s="108">
        <f>I52+D52+'ACP_Agri_9(i)'!D52</f>
        <v>134.06</v>
      </c>
      <c r="O52" s="108">
        <f>J52+E52+'ACP_Agri_9(i)'!E52</f>
        <v>0</v>
      </c>
      <c r="P52" s="108">
        <f>K52+F52+'ACP_Agri_9(i)'!F52</f>
        <v>0</v>
      </c>
      <c r="Q52" s="109">
        <f t="shared" si="2"/>
        <v>0</v>
      </c>
      <c r="R52" s="120"/>
    </row>
    <row r="53" spans="1:18" x14ac:dyDescent="0.2">
      <c r="A53" s="65">
        <v>47</v>
      </c>
      <c r="B53" s="107" t="s">
        <v>78</v>
      </c>
      <c r="C53" s="108">
        <v>0</v>
      </c>
      <c r="D53" s="108">
        <v>0</v>
      </c>
      <c r="E53" s="108">
        <v>0</v>
      </c>
      <c r="F53" s="108">
        <v>0</v>
      </c>
      <c r="G53" s="109">
        <v>0</v>
      </c>
      <c r="H53" s="108"/>
      <c r="I53" s="108"/>
      <c r="J53" s="108">
        <v>0</v>
      </c>
      <c r="K53" s="108">
        <v>0</v>
      </c>
      <c r="L53" s="109">
        <v>0</v>
      </c>
      <c r="M53" s="108">
        <f>H53+C53+'ACP_Agri_9(i)'!C53</f>
        <v>0</v>
      </c>
      <c r="N53" s="108">
        <f>I53+D53+'ACP_Agri_9(i)'!D53</f>
        <v>0</v>
      </c>
      <c r="O53" s="108">
        <f>J53+E53+'ACP_Agri_9(i)'!E53</f>
        <v>0</v>
      </c>
      <c r="P53" s="108">
        <f>K53+F53+'ACP_Agri_9(i)'!F53</f>
        <v>0</v>
      </c>
      <c r="Q53" s="109">
        <v>0</v>
      </c>
      <c r="R53" s="120"/>
    </row>
    <row r="54" spans="1:18" x14ac:dyDescent="0.2">
      <c r="A54" s="65">
        <v>48</v>
      </c>
      <c r="B54" s="107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v>0</v>
      </c>
      <c r="H54" s="108"/>
      <c r="I54" s="108"/>
      <c r="J54" s="108">
        <v>0</v>
      </c>
      <c r="K54" s="108">
        <v>0</v>
      </c>
      <c r="L54" s="109">
        <v>0</v>
      </c>
      <c r="M54" s="108">
        <f>H54+C54+'ACP_Agri_9(i)'!C54</f>
        <v>0</v>
      </c>
      <c r="N54" s="108">
        <f>I54+D54+'ACP_Agri_9(i)'!D54</f>
        <v>0</v>
      </c>
      <c r="O54" s="108">
        <f>J54+E54+'ACP_Agri_9(i)'!E54</f>
        <v>0</v>
      </c>
      <c r="P54" s="108">
        <f>K54+F54+'ACP_Agri_9(i)'!F54</f>
        <v>0</v>
      </c>
      <c r="Q54" s="109">
        <v>0</v>
      </c>
      <c r="R54" s="120"/>
    </row>
    <row r="55" spans="1:18" x14ac:dyDescent="0.2">
      <c r="A55" s="65">
        <v>49</v>
      </c>
      <c r="B55" s="66" t="s">
        <v>77</v>
      </c>
      <c r="C55" s="108">
        <v>34</v>
      </c>
      <c r="D55" s="108">
        <v>134</v>
      </c>
      <c r="E55" s="108">
        <v>3</v>
      </c>
      <c r="F55" s="108">
        <v>92</v>
      </c>
      <c r="G55" s="109">
        <f t="shared" si="0"/>
        <v>68.656716417910445</v>
      </c>
      <c r="H55" s="108">
        <v>23</v>
      </c>
      <c r="I55" s="108">
        <v>78</v>
      </c>
      <c r="J55" s="108">
        <v>10</v>
      </c>
      <c r="K55" s="108">
        <v>1035</v>
      </c>
      <c r="L55" s="109">
        <f t="shared" si="1"/>
        <v>1326.9230769230769</v>
      </c>
      <c r="M55" s="108">
        <f>H55+C55+'ACP_Agri_9(i)'!C55</f>
        <v>1256</v>
      </c>
      <c r="N55" s="108">
        <f>I55+D55+'ACP_Agri_9(i)'!D55</f>
        <v>3409.06</v>
      </c>
      <c r="O55" s="108">
        <f>J55+E55+'ACP_Agri_9(i)'!E55</f>
        <v>4554</v>
      </c>
      <c r="P55" s="108">
        <f>K55+F55+'ACP_Agri_9(i)'!F55</f>
        <v>4182</v>
      </c>
      <c r="Q55" s="109">
        <f t="shared" si="2"/>
        <v>122.67311223621761</v>
      </c>
      <c r="R55" s="120"/>
    </row>
    <row r="56" spans="1:18" s="117" customFormat="1" x14ac:dyDescent="0.2">
      <c r="A56" s="382"/>
      <c r="B56" s="68" t="s">
        <v>408</v>
      </c>
      <c r="C56" s="115">
        <f>SUM(C34:C55)</f>
        <v>2759</v>
      </c>
      <c r="D56" s="115">
        <f t="shared" ref="D56:N56" si="4">SUM(D34:D55)</f>
        <v>13463</v>
      </c>
      <c r="E56" s="115">
        <f t="shared" si="4"/>
        <v>1096</v>
      </c>
      <c r="F56" s="115">
        <f t="shared" si="4"/>
        <v>8559.380000000001</v>
      </c>
      <c r="G56" s="106">
        <f t="shared" si="0"/>
        <v>63.577063061724736</v>
      </c>
      <c r="H56" s="115">
        <f t="shared" si="4"/>
        <v>1823</v>
      </c>
      <c r="I56" s="115">
        <f t="shared" si="4"/>
        <v>7847</v>
      </c>
      <c r="J56" s="115">
        <f t="shared" si="4"/>
        <v>2947</v>
      </c>
      <c r="K56" s="115">
        <f t="shared" si="4"/>
        <v>48755.21</v>
      </c>
      <c r="L56" s="106">
        <f t="shared" si="1"/>
        <v>621.32292595896524</v>
      </c>
      <c r="M56" s="115">
        <f t="shared" si="4"/>
        <v>99192</v>
      </c>
      <c r="N56" s="115">
        <f t="shared" si="4"/>
        <v>338280.86</v>
      </c>
      <c r="O56" s="115">
        <f>J56+E56+'ACP_Agri_9(i)'!E56</f>
        <v>151216</v>
      </c>
      <c r="P56" s="115">
        <f>K56+F56+'ACP_Agri_9(i)'!F56</f>
        <v>319647.83999999997</v>
      </c>
      <c r="Q56" s="106">
        <f t="shared" si="2"/>
        <v>94.491849169355888</v>
      </c>
      <c r="R56" s="121"/>
    </row>
    <row r="57" spans="1:18" s="117" customFormat="1" x14ac:dyDescent="0.2">
      <c r="A57" s="65">
        <v>50</v>
      </c>
      <c r="B57" s="66" t="s">
        <v>47</v>
      </c>
      <c r="C57" s="108">
        <v>2484</v>
      </c>
      <c r="D57" s="108">
        <v>15711</v>
      </c>
      <c r="E57" s="108">
        <v>1</v>
      </c>
      <c r="F57" s="108">
        <v>8</v>
      </c>
      <c r="G57" s="109">
        <f t="shared" si="0"/>
        <v>5.0919737763350521E-2</v>
      </c>
      <c r="H57" s="108">
        <v>236</v>
      </c>
      <c r="I57" s="108">
        <v>1296</v>
      </c>
      <c r="J57" s="108">
        <v>2</v>
      </c>
      <c r="K57" s="108">
        <v>1</v>
      </c>
      <c r="L57" s="109">
        <f t="shared" si="1"/>
        <v>7.716049382716049E-2</v>
      </c>
      <c r="M57" s="108">
        <f>H57+C57+'ACP_Agri_9(i)'!C57</f>
        <v>79754</v>
      </c>
      <c r="N57" s="108">
        <f>I57+D57+'ACP_Agri_9(i)'!D57</f>
        <v>289600.48</v>
      </c>
      <c r="O57" s="108">
        <f>J57+E57+'ACP_Agri_9(i)'!E57</f>
        <v>58956</v>
      </c>
      <c r="P57" s="108">
        <f>K57+F57+'ACP_Agri_9(i)'!F57</f>
        <v>80398</v>
      </c>
      <c r="Q57" s="109">
        <f t="shared" si="2"/>
        <v>27.761694317633729</v>
      </c>
      <c r="R57" s="120"/>
    </row>
    <row r="58" spans="1:18" s="117" customFormat="1" x14ac:dyDescent="0.2">
      <c r="A58" s="65">
        <v>51</v>
      </c>
      <c r="B58" s="66" t="s">
        <v>230</v>
      </c>
      <c r="C58" s="108">
        <v>3220</v>
      </c>
      <c r="D58" s="108">
        <v>11416</v>
      </c>
      <c r="E58" s="108">
        <v>0</v>
      </c>
      <c r="F58" s="108">
        <v>0</v>
      </c>
      <c r="G58" s="109">
        <f t="shared" si="0"/>
        <v>0</v>
      </c>
      <c r="H58" s="108">
        <v>551</v>
      </c>
      <c r="I58" s="108">
        <v>3197</v>
      </c>
      <c r="J58" s="108">
        <v>141</v>
      </c>
      <c r="K58" s="108">
        <v>50</v>
      </c>
      <c r="L58" s="109">
        <f t="shared" si="1"/>
        <v>1.5639662183296841</v>
      </c>
      <c r="M58" s="108">
        <f>H58+C58+'ACP_Agri_9(i)'!C58</f>
        <v>146373</v>
      </c>
      <c r="N58" s="108">
        <f>I58+D58+'ACP_Agri_9(i)'!D58</f>
        <v>284530.7</v>
      </c>
      <c r="O58" s="108">
        <f>J58+E58+'ACP_Agri_9(i)'!E58</f>
        <v>164802</v>
      </c>
      <c r="P58" s="108">
        <f>K58+F58+'ACP_Agri_9(i)'!F58</f>
        <v>56886</v>
      </c>
      <c r="Q58" s="109">
        <f t="shared" si="2"/>
        <v>19.992921677695939</v>
      </c>
      <c r="R58" s="120"/>
    </row>
    <row r="59" spans="1:18" x14ac:dyDescent="0.2">
      <c r="A59" s="65">
        <v>52</v>
      </c>
      <c r="B59" s="66" t="s">
        <v>53</v>
      </c>
      <c r="C59" s="108">
        <v>3522</v>
      </c>
      <c r="D59" s="108">
        <v>12966</v>
      </c>
      <c r="E59" s="108">
        <v>0</v>
      </c>
      <c r="F59" s="108">
        <v>0</v>
      </c>
      <c r="G59" s="109">
        <f t="shared" si="0"/>
        <v>0</v>
      </c>
      <c r="H59" s="108">
        <v>5572</v>
      </c>
      <c r="I59" s="108">
        <v>18794</v>
      </c>
      <c r="J59" s="108">
        <v>380</v>
      </c>
      <c r="K59" s="108">
        <v>559</v>
      </c>
      <c r="L59" s="109">
        <f t="shared" si="1"/>
        <v>2.9743535170799191</v>
      </c>
      <c r="M59" s="108">
        <f>H59+C59+'ACP_Agri_9(i)'!C59</f>
        <v>117579.042837079</v>
      </c>
      <c r="N59" s="108">
        <f>I59+D59+'ACP_Agri_9(i)'!D59</f>
        <v>443890.97</v>
      </c>
      <c r="O59" s="108">
        <f>J59+E59+'ACP_Agri_9(i)'!E59</f>
        <v>115513</v>
      </c>
      <c r="P59" s="108">
        <f>K59+F59+'ACP_Agri_9(i)'!F59</f>
        <v>157174.94</v>
      </c>
      <c r="Q59" s="109">
        <f t="shared" si="2"/>
        <v>35.408456270241317</v>
      </c>
    </row>
    <row r="60" spans="1:18" s="117" customFormat="1" x14ac:dyDescent="0.2">
      <c r="A60" s="382"/>
      <c r="B60" s="68" t="s">
        <v>415</v>
      </c>
      <c r="C60" s="115">
        <f>SUM(C57:C59)</f>
        <v>9226</v>
      </c>
      <c r="D60" s="115">
        <f t="shared" ref="D60:N60" si="5">SUM(D57:D59)</f>
        <v>40093</v>
      </c>
      <c r="E60" s="115">
        <f t="shared" si="5"/>
        <v>1</v>
      </c>
      <c r="F60" s="115">
        <f t="shared" si="5"/>
        <v>8</v>
      </c>
      <c r="G60" s="106">
        <f t="shared" si="0"/>
        <v>1.9953607861721498E-2</v>
      </c>
      <c r="H60" s="115">
        <f t="shared" si="5"/>
        <v>6359</v>
      </c>
      <c r="I60" s="115">
        <f t="shared" si="5"/>
        <v>23287</v>
      </c>
      <c r="J60" s="115">
        <f t="shared" si="5"/>
        <v>523</v>
      </c>
      <c r="K60" s="115">
        <f t="shared" si="5"/>
        <v>610</v>
      </c>
      <c r="L60" s="106">
        <f t="shared" si="1"/>
        <v>2.6194872675741832</v>
      </c>
      <c r="M60" s="115">
        <f t="shared" si="5"/>
        <v>343706.04283707903</v>
      </c>
      <c r="N60" s="115">
        <f t="shared" si="5"/>
        <v>1018022.1499999999</v>
      </c>
      <c r="O60" s="115">
        <f>J60+E60+'ACP_Agri_9(i)'!E60</f>
        <v>339271</v>
      </c>
      <c r="P60" s="115">
        <f>K60+F60+'ACP_Agri_9(i)'!F60</f>
        <v>294458.94</v>
      </c>
      <c r="Q60" s="106">
        <f t="shared" si="2"/>
        <v>28.924610333871421</v>
      </c>
    </row>
    <row r="61" spans="1:18" x14ac:dyDescent="0.2">
      <c r="A61" s="65">
        <v>53</v>
      </c>
      <c r="B61" s="66" t="s">
        <v>409</v>
      </c>
      <c r="C61" s="108">
        <v>32840</v>
      </c>
      <c r="D61" s="108">
        <v>83222</v>
      </c>
      <c r="E61" s="108">
        <v>0</v>
      </c>
      <c r="F61" s="108">
        <v>0</v>
      </c>
      <c r="G61" s="109">
        <f t="shared" si="0"/>
        <v>0</v>
      </c>
      <c r="H61" s="108">
        <v>10958</v>
      </c>
      <c r="I61" s="108">
        <v>51081</v>
      </c>
      <c r="J61" s="108">
        <v>0</v>
      </c>
      <c r="K61" s="108">
        <v>0</v>
      </c>
      <c r="L61" s="109">
        <f t="shared" si="1"/>
        <v>0</v>
      </c>
      <c r="M61" s="108">
        <f>H61+C61+'ACP_Agri_9(i)'!C61</f>
        <v>709321</v>
      </c>
      <c r="N61" s="108">
        <f>I61+D61+'ACP_Agri_9(i)'!D61</f>
        <v>2130413.9900000002</v>
      </c>
      <c r="O61" s="108">
        <f>J61+E61+'ACP_Agri_9(i)'!E61</f>
        <v>663049</v>
      </c>
      <c r="P61" s="108">
        <f>K61+F61+'ACP_Agri_9(i)'!F61</f>
        <v>830042.5</v>
      </c>
      <c r="Q61" s="109">
        <f t="shared" si="2"/>
        <v>38.961558828291395</v>
      </c>
    </row>
    <row r="62" spans="1:18" s="117" customFormat="1" x14ac:dyDescent="0.2">
      <c r="A62" s="382"/>
      <c r="B62" s="68" t="s">
        <v>410</v>
      </c>
      <c r="C62" s="115">
        <f>C61</f>
        <v>32840</v>
      </c>
      <c r="D62" s="115">
        <f t="shared" ref="D62:N62" si="6">D61</f>
        <v>83222</v>
      </c>
      <c r="E62" s="115">
        <f t="shared" si="6"/>
        <v>0</v>
      </c>
      <c r="F62" s="115">
        <f t="shared" si="6"/>
        <v>0</v>
      </c>
      <c r="G62" s="106">
        <f t="shared" si="0"/>
        <v>0</v>
      </c>
      <c r="H62" s="115">
        <f t="shared" si="6"/>
        <v>10958</v>
      </c>
      <c r="I62" s="115">
        <f t="shared" si="6"/>
        <v>51081</v>
      </c>
      <c r="J62" s="115">
        <f t="shared" si="6"/>
        <v>0</v>
      </c>
      <c r="K62" s="115">
        <f t="shared" si="6"/>
        <v>0</v>
      </c>
      <c r="L62" s="106">
        <f t="shared" si="1"/>
        <v>0</v>
      </c>
      <c r="M62" s="115">
        <f t="shared" si="6"/>
        <v>709321</v>
      </c>
      <c r="N62" s="115">
        <f t="shared" si="6"/>
        <v>2130413.9900000002</v>
      </c>
      <c r="O62" s="115">
        <f>J62+E62+'ACP_Agri_9(i)'!E62</f>
        <v>663049</v>
      </c>
      <c r="P62" s="115">
        <f>K62+F62+'ACP_Agri_9(i)'!F62</f>
        <v>830042.5</v>
      </c>
      <c r="Q62" s="106">
        <f t="shared" si="2"/>
        <v>38.961558828291395</v>
      </c>
    </row>
    <row r="63" spans="1:18" s="117" customFormat="1" x14ac:dyDescent="0.2">
      <c r="A63" s="382"/>
      <c r="B63" s="68" t="s">
        <v>411</v>
      </c>
      <c r="C63" s="115">
        <f>C62+C60+C56+C33</f>
        <v>83990</v>
      </c>
      <c r="D63" s="115">
        <f t="shared" ref="D63:N63" si="7">D62+D60+D56+D33</f>
        <v>318443</v>
      </c>
      <c r="E63" s="115">
        <f t="shared" si="7"/>
        <v>20433</v>
      </c>
      <c r="F63" s="115">
        <f t="shared" si="7"/>
        <v>57946.399999999994</v>
      </c>
      <c r="G63" s="106">
        <f t="shared" si="0"/>
        <v>18.196788750262996</v>
      </c>
      <c r="H63" s="115">
        <f t="shared" si="7"/>
        <v>49129</v>
      </c>
      <c r="I63" s="115">
        <f t="shared" si="7"/>
        <v>187720</v>
      </c>
      <c r="J63" s="115">
        <f t="shared" si="7"/>
        <v>39542</v>
      </c>
      <c r="K63" s="115">
        <f t="shared" si="7"/>
        <v>142791.71</v>
      </c>
      <c r="L63" s="106">
        <f t="shared" si="1"/>
        <v>76.066327509056038</v>
      </c>
      <c r="M63" s="115">
        <f t="shared" si="7"/>
        <v>2613627.0428370791</v>
      </c>
      <c r="N63" s="115">
        <f t="shared" si="7"/>
        <v>8098143.2599999998</v>
      </c>
      <c r="O63" s="115">
        <f>J63+E63+'ACP_Agri_9(i)'!E63</f>
        <v>2358292</v>
      </c>
      <c r="P63" s="115">
        <f>K63+F63+'ACP_Agri_9(i)'!F63</f>
        <v>3214243.3299999996</v>
      </c>
      <c r="Q63" s="106">
        <f t="shared" si="2"/>
        <v>39.691114701272888</v>
      </c>
    </row>
    <row r="64" spans="1:18" x14ac:dyDescent="0.2">
      <c r="A64" s="69"/>
      <c r="G64" s="120"/>
      <c r="L64" s="120"/>
    </row>
  </sheetData>
  <mergeCells count="15">
    <mergeCell ref="Q4:Q5"/>
    <mergeCell ref="A1:P1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conditionalFormatting sqref="AC1:AC1048576">
    <cfRule type="cellIs" dxfId="132" priority="8" stopIfTrue="1" operator="greaterThan">
      <formula>100</formula>
    </cfRule>
  </conditionalFormatting>
  <conditionalFormatting sqref="B6">
    <cfRule type="duplicateValues" dxfId="131" priority="2"/>
  </conditionalFormatting>
  <conditionalFormatting sqref="B22">
    <cfRule type="duplicateValues" dxfId="130" priority="3"/>
  </conditionalFormatting>
  <conditionalFormatting sqref="B32:B33 B26:B29">
    <cfRule type="duplicateValues" dxfId="129" priority="4"/>
  </conditionalFormatting>
  <conditionalFormatting sqref="B51">
    <cfRule type="duplicateValues" dxfId="128" priority="5"/>
  </conditionalFormatting>
  <conditionalFormatting sqref="B55">
    <cfRule type="duplicateValues" dxfId="127" priority="6"/>
  </conditionalFormatting>
  <conditionalFormatting sqref="B57">
    <cfRule type="duplicateValues" dxfId="126" priority="7"/>
  </conditionalFormatting>
  <conditionalFormatting sqref="Q1:Q1048576">
    <cfRule type="cellIs" dxfId="125" priority="1" stopIfTrue="1" operator="greaterThan">
      <formula>50</formula>
    </cfRule>
  </conditionalFormatting>
  <pageMargins left="1.2" right="0.7" top="0.25" bottom="0.25" header="0.3" footer="0.3"/>
  <pageSetup paperSize="9" scale="60" orientation="landscape" r:id="rId1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Normal="100" workbookViewId="0">
      <pane xSplit="2" ySplit="6" topLeftCell="C58" activePane="bottomRight" state="frozen"/>
      <selection pane="topRight" activeCell="C1" sqref="C1"/>
      <selection pane="bottomLeft" activeCell="A7" sqref="A7"/>
      <selection pane="bottomRight" activeCell="P67" sqref="P67"/>
    </sheetView>
  </sheetViews>
  <sheetFormatPr defaultColWidth="4.42578125" defaultRowHeight="13.5" x14ac:dyDescent="0.2"/>
  <cols>
    <col min="1" max="1" width="4.42578125" style="157"/>
    <col min="2" max="2" width="23.28515625" style="157" customWidth="1"/>
    <col min="3" max="3" width="10.5703125" style="162" bestFit="1" customWidth="1"/>
    <col min="4" max="4" width="11.140625" style="162" bestFit="1" customWidth="1"/>
    <col min="5" max="5" width="8.5703125" style="162" bestFit="1" customWidth="1"/>
    <col min="6" max="6" width="10.140625" style="162" bestFit="1" customWidth="1"/>
    <col min="7" max="7" width="8" style="162" customWidth="1"/>
    <col min="8" max="8" width="10.42578125" style="162" bestFit="1" customWidth="1"/>
    <col min="9" max="9" width="8" style="162" customWidth="1"/>
    <col min="10" max="10" width="8.42578125" style="162" customWidth="1"/>
    <col min="11" max="11" width="7.140625" style="162" customWidth="1"/>
    <col min="12" max="12" width="7.28515625" style="162" customWidth="1"/>
    <col min="13" max="13" width="7.5703125" style="162" bestFit="1" customWidth="1"/>
    <col min="14" max="14" width="8.5703125" style="162" customWidth="1"/>
    <col min="15" max="15" width="9.42578125" style="162" bestFit="1" customWidth="1"/>
    <col min="16" max="16" width="10.140625" style="162" bestFit="1" customWidth="1"/>
    <col min="17" max="17" width="8" style="164" customWidth="1"/>
    <col min="18" max="18" width="11.7109375" style="157" customWidth="1"/>
    <col min="19" max="19" width="14.140625" style="157" bestFit="1" customWidth="1"/>
    <col min="20" max="20" width="12" style="157" customWidth="1"/>
    <col min="21" max="16384" width="4.42578125" style="157"/>
  </cols>
  <sheetData>
    <row r="1" spans="1:17" s="71" customFormat="1" ht="18.75" x14ac:dyDescent="0.2">
      <c r="A1" s="426" t="s">
        <v>480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118"/>
    </row>
    <row r="2" spans="1:17" s="71" customFormat="1" x14ac:dyDescent="0.2">
      <c r="B2" s="117" t="s">
        <v>135</v>
      </c>
      <c r="C2" s="121"/>
      <c r="D2" s="121"/>
      <c r="E2" s="120"/>
      <c r="F2" s="120"/>
      <c r="G2" s="120"/>
      <c r="H2" s="120"/>
      <c r="I2" s="120"/>
      <c r="J2" s="120"/>
      <c r="K2" s="120" t="s">
        <v>144</v>
      </c>
      <c r="L2" s="120"/>
      <c r="M2" s="120"/>
      <c r="N2" s="121" t="s">
        <v>158</v>
      </c>
      <c r="O2" s="120"/>
      <c r="P2" s="120"/>
      <c r="Q2" s="118"/>
    </row>
    <row r="3" spans="1:17" s="71" customFormat="1" ht="35.1" customHeight="1" x14ac:dyDescent="0.2">
      <c r="A3" s="427" t="s">
        <v>121</v>
      </c>
      <c r="B3" s="427" t="s">
        <v>101</v>
      </c>
      <c r="C3" s="435" t="s">
        <v>160</v>
      </c>
      <c r="D3" s="439"/>
      <c r="E3" s="429" t="s">
        <v>481</v>
      </c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1"/>
      <c r="Q3" s="425" t="s">
        <v>159</v>
      </c>
    </row>
    <row r="4" spans="1:17" s="71" customFormat="1" ht="35.1" customHeight="1" x14ac:dyDescent="0.2">
      <c r="A4" s="427"/>
      <c r="B4" s="427"/>
      <c r="C4" s="437"/>
      <c r="D4" s="440"/>
      <c r="E4" s="429" t="s">
        <v>128</v>
      </c>
      <c r="F4" s="431"/>
      <c r="G4" s="429" t="s">
        <v>129</v>
      </c>
      <c r="H4" s="431"/>
      <c r="I4" s="429" t="s">
        <v>130</v>
      </c>
      <c r="J4" s="431"/>
      <c r="K4" s="429" t="s">
        <v>131</v>
      </c>
      <c r="L4" s="431"/>
      <c r="M4" s="429" t="s">
        <v>133</v>
      </c>
      <c r="N4" s="431"/>
      <c r="O4" s="429" t="s">
        <v>157</v>
      </c>
      <c r="P4" s="431"/>
      <c r="Q4" s="425"/>
    </row>
    <row r="5" spans="1:17" s="71" customFormat="1" ht="35.1" customHeight="1" x14ac:dyDescent="0.2">
      <c r="A5" s="427"/>
      <c r="B5" s="427"/>
      <c r="C5" s="383" t="s">
        <v>30</v>
      </c>
      <c r="D5" s="383" t="s">
        <v>17</v>
      </c>
      <c r="E5" s="383" t="s">
        <v>30</v>
      </c>
      <c r="F5" s="383" t="s">
        <v>17</v>
      </c>
      <c r="G5" s="383" t="s">
        <v>30</v>
      </c>
      <c r="H5" s="383" t="s">
        <v>17</v>
      </c>
      <c r="I5" s="383" t="s">
        <v>30</v>
      </c>
      <c r="J5" s="383" t="s">
        <v>17</v>
      </c>
      <c r="K5" s="383" t="s">
        <v>30</v>
      </c>
      <c r="L5" s="383" t="s">
        <v>17</v>
      </c>
      <c r="M5" s="383" t="s">
        <v>30</v>
      </c>
      <c r="N5" s="383" t="s">
        <v>17</v>
      </c>
      <c r="O5" s="383" t="s">
        <v>30</v>
      </c>
      <c r="P5" s="383" t="s">
        <v>17</v>
      </c>
      <c r="Q5" s="425"/>
    </row>
    <row r="6" spans="1:17" s="71" customFormat="1" x14ac:dyDescent="0.2">
      <c r="A6" s="65">
        <v>1</v>
      </c>
      <c r="B6" s="107" t="s">
        <v>56</v>
      </c>
      <c r="C6" s="108">
        <v>12951</v>
      </c>
      <c r="D6" s="108">
        <v>44689</v>
      </c>
      <c r="E6" s="108">
        <v>2428</v>
      </c>
      <c r="F6" s="108">
        <v>6040</v>
      </c>
      <c r="G6" s="108">
        <v>621</v>
      </c>
      <c r="H6" s="108">
        <v>2956.27</v>
      </c>
      <c r="I6" s="108">
        <v>17</v>
      </c>
      <c r="J6" s="108">
        <v>911</v>
      </c>
      <c r="K6" s="108">
        <v>31</v>
      </c>
      <c r="L6" s="108">
        <v>126.58</v>
      </c>
      <c r="M6" s="108">
        <v>23</v>
      </c>
      <c r="N6" s="108">
        <v>95.22</v>
      </c>
      <c r="O6" s="108">
        <f>E6+G6+I6+K6+M6</f>
        <v>3120</v>
      </c>
      <c r="P6" s="108">
        <f>F6+H6+J6+L6+N6</f>
        <v>10129.07</v>
      </c>
      <c r="Q6" s="109">
        <f>P6*100/D6</f>
        <v>22.665689543288057</v>
      </c>
    </row>
    <row r="7" spans="1:17" s="71" customFormat="1" x14ac:dyDescent="0.2">
      <c r="A7" s="65">
        <v>2</v>
      </c>
      <c r="B7" s="107" t="s">
        <v>57</v>
      </c>
      <c r="C7" s="108">
        <v>1105</v>
      </c>
      <c r="D7" s="108">
        <v>4895</v>
      </c>
      <c r="E7" s="108">
        <v>513</v>
      </c>
      <c r="F7" s="108">
        <v>1594.05</v>
      </c>
      <c r="G7" s="108">
        <v>20</v>
      </c>
      <c r="H7" s="108">
        <v>934.76</v>
      </c>
      <c r="I7" s="108">
        <v>2</v>
      </c>
      <c r="J7" s="108">
        <v>1104.45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61" si="0">E7+G7+I7+K7+M7</f>
        <v>535</v>
      </c>
      <c r="P7" s="108">
        <f t="shared" ref="P7:P31" si="1">F7+H7+J7+L7+N7</f>
        <v>3633.26</v>
      </c>
      <c r="Q7" s="109">
        <f t="shared" ref="Q7:Q63" si="2">P7*100/D7</f>
        <v>74.22390194075588</v>
      </c>
    </row>
    <row r="8" spans="1:17" s="71" customFormat="1" x14ac:dyDescent="0.2">
      <c r="A8" s="65">
        <v>3</v>
      </c>
      <c r="B8" s="107" t="s">
        <v>58</v>
      </c>
      <c r="C8" s="108">
        <v>11898</v>
      </c>
      <c r="D8" s="108">
        <v>47875</v>
      </c>
      <c r="E8" s="108">
        <v>6963</v>
      </c>
      <c r="F8" s="108">
        <v>1254.3599999999999</v>
      </c>
      <c r="G8" s="108">
        <v>258</v>
      </c>
      <c r="H8" s="108">
        <v>33700</v>
      </c>
      <c r="I8" s="108">
        <v>142</v>
      </c>
      <c r="J8" s="108">
        <v>2552</v>
      </c>
      <c r="K8" s="108">
        <v>5</v>
      </c>
      <c r="L8" s="108">
        <v>82.5</v>
      </c>
      <c r="M8" s="108">
        <v>5</v>
      </c>
      <c r="N8" s="108">
        <v>45</v>
      </c>
      <c r="O8" s="108">
        <f t="shared" si="0"/>
        <v>7373</v>
      </c>
      <c r="P8" s="108">
        <f t="shared" si="1"/>
        <v>37633.86</v>
      </c>
      <c r="Q8" s="109">
        <f t="shared" si="2"/>
        <v>78.608584856396874</v>
      </c>
    </row>
    <row r="9" spans="1:17" s="71" customFormat="1" x14ac:dyDescent="0.2">
      <c r="A9" s="65">
        <v>4</v>
      </c>
      <c r="B9" s="107" t="s">
        <v>59</v>
      </c>
      <c r="C9" s="108">
        <v>4346</v>
      </c>
      <c r="D9" s="108">
        <v>106889</v>
      </c>
      <c r="E9" s="108">
        <v>14049</v>
      </c>
      <c r="F9" s="108">
        <v>57365</v>
      </c>
      <c r="G9" s="108">
        <v>2199</v>
      </c>
      <c r="H9" s="108">
        <v>11736</v>
      </c>
      <c r="I9" s="108">
        <v>148</v>
      </c>
      <c r="J9" s="108">
        <v>7014</v>
      </c>
      <c r="K9" s="108">
        <v>8</v>
      </c>
      <c r="L9" s="108">
        <v>3</v>
      </c>
      <c r="M9" s="108">
        <v>61</v>
      </c>
      <c r="N9" s="108">
        <v>113</v>
      </c>
      <c r="O9" s="108">
        <f t="shared" si="0"/>
        <v>16465</v>
      </c>
      <c r="P9" s="108">
        <f t="shared" si="1"/>
        <v>76231</v>
      </c>
      <c r="Q9" s="109">
        <f t="shared" si="2"/>
        <v>71.317909232942583</v>
      </c>
    </row>
    <row r="10" spans="1:17" s="71" customFormat="1" x14ac:dyDescent="0.2">
      <c r="A10" s="65">
        <v>5</v>
      </c>
      <c r="B10" s="107" t="s">
        <v>60</v>
      </c>
      <c r="C10" s="108">
        <v>12474</v>
      </c>
      <c r="D10" s="108">
        <v>52578</v>
      </c>
      <c r="E10" s="108">
        <v>3088</v>
      </c>
      <c r="F10" s="108">
        <v>14789</v>
      </c>
      <c r="G10" s="108">
        <v>589</v>
      </c>
      <c r="H10" s="108">
        <v>25893</v>
      </c>
      <c r="I10" s="108">
        <v>6</v>
      </c>
      <c r="J10" s="108">
        <v>669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3683</v>
      </c>
      <c r="P10" s="108">
        <f t="shared" si="1"/>
        <v>41351</v>
      </c>
      <c r="Q10" s="109">
        <f t="shared" si="2"/>
        <v>78.646962607934881</v>
      </c>
    </row>
    <row r="11" spans="1:17" s="71" customFormat="1" x14ac:dyDescent="0.2">
      <c r="A11" s="65">
        <v>6</v>
      </c>
      <c r="B11" s="110" t="s">
        <v>244</v>
      </c>
      <c r="C11" s="108">
        <v>252</v>
      </c>
      <c r="D11" s="108">
        <v>999</v>
      </c>
      <c r="E11" s="108">
        <v>88</v>
      </c>
      <c r="F11" s="108">
        <v>88</v>
      </c>
      <c r="G11" s="108">
        <v>44</v>
      </c>
      <c r="H11" s="108">
        <v>79.5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132</v>
      </c>
      <c r="P11" s="108">
        <f t="shared" si="1"/>
        <v>167.5</v>
      </c>
      <c r="Q11" s="109">
        <f t="shared" si="2"/>
        <v>16.766766766766768</v>
      </c>
    </row>
    <row r="12" spans="1:17" s="71" customFormat="1" x14ac:dyDescent="0.2">
      <c r="A12" s="65">
        <v>7</v>
      </c>
      <c r="B12" s="107" t="s">
        <v>61</v>
      </c>
      <c r="C12" s="108">
        <v>6042</v>
      </c>
      <c r="D12" s="108">
        <v>21043</v>
      </c>
      <c r="E12" s="108">
        <v>1722</v>
      </c>
      <c r="F12" s="108">
        <v>4519</v>
      </c>
      <c r="G12" s="108">
        <v>540</v>
      </c>
      <c r="H12" s="108">
        <v>2697</v>
      </c>
      <c r="I12" s="108">
        <v>9</v>
      </c>
      <c r="J12" s="108">
        <v>387</v>
      </c>
      <c r="K12" s="108">
        <v>21</v>
      </c>
      <c r="L12" s="108">
        <v>105</v>
      </c>
      <c r="M12" s="108">
        <v>0</v>
      </c>
      <c r="N12" s="108">
        <v>0</v>
      </c>
      <c r="O12" s="108">
        <f t="shared" si="0"/>
        <v>2292</v>
      </c>
      <c r="P12" s="108">
        <f t="shared" si="1"/>
        <v>7708</v>
      </c>
      <c r="Q12" s="109">
        <f t="shared" si="2"/>
        <v>36.629758114337307</v>
      </c>
    </row>
    <row r="13" spans="1:17" s="71" customFormat="1" x14ac:dyDescent="0.2">
      <c r="A13" s="65">
        <v>8</v>
      </c>
      <c r="B13" s="107" t="s">
        <v>62</v>
      </c>
      <c r="C13" s="108">
        <v>22260</v>
      </c>
      <c r="D13" s="108">
        <v>93053</v>
      </c>
      <c r="E13" s="108">
        <v>2942</v>
      </c>
      <c r="F13" s="108">
        <v>10968</v>
      </c>
      <c r="G13" s="108">
        <v>1094</v>
      </c>
      <c r="H13" s="108">
        <v>44269</v>
      </c>
      <c r="I13" s="108">
        <v>28</v>
      </c>
      <c r="J13" s="108">
        <v>3568</v>
      </c>
      <c r="K13" s="108">
        <v>2</v>
      </c>
      <c r="L13" s="108">
        <v>19</v>
      </c>
      <c r="M13" s="108">
        <v>0</v>
      </c>
      <c r="N13" s="108">
        <v>0</v>
      </c>
      <c r="O13" s="108">
        <f t="shared" si="0"/>
        <v>4066</v>
      </c>
      <c r="P13" s="108">
        <f t="shared" si="1"/>
        <v>58824</v>
      </c>
      <c r="Q13" s="109">
        <f t="shared" si="2"/>
        <v>63.215586816115547</v>
      </c>
    </row>
    <row r="14" spans="1:17" s="71" customFormat="1" x14ac:dyDescent="0.2">
      <c r="A14" s="65">
        <v>9</v>
      </c>
      <c r="B14" s="107" t="s">
        <v>49</v>
      </c>
      <c r="C14" s="108">
        <v>2036</v>
      </c>
      <c r="D14" s="108">
        <v>7809</v>
      </c>
      <c r="E14" s="108">
        <v>9093</v>
      </c>
      <c r="F14" s="108">
        <v>26937</v>
      </c>
      <c r="G14" s="108">
        <v>211</v>
      </c>
      <c r="H14" s="108">
        <v>28069</v>
      </c>
      <c r="I14" s="108">
        <v>205</v>
      </c>
      <c r="J14" s="108">
        <v>7217</v>
      </c>
      <c r="K14" s="108">
        <v>157</v>
      </c>
      <c r="L14" s="108">
        <v>526</v>
      </c>
      <c r="M14" s="108">
        <v>0</v>
      </c>
      <c r="N14" s="108">
        <v>0</v>
      </c>
      <c r="O14" s="108">
        <f t="shared" si="0"/>
        <v>9666</v>
      </c>
      <c r="P14" s="108">
        <f t="shared" si="1"/>
        <v>62749</v>
      </c>
      <c r="Q14" s="109">
        <f t="shared" si="2"/>
        <v>803.5471891407351</v>
      </c>
    </row>
    <row r="15" spans="1:17" s="71" customFormat="1" x14ac:dyDescent="0.2">
      <c r="A15" s="65">
        <v>10</v>
      </c>
      <c r="B15" s="107" t="s">
        <v>50</v>
      </c>
      <c r="C15" s="108">
        <v>4760</v>
      </c>
      <c r="D15" s="108">
        <v>18738</v>
      </c>
      <c r="E15" s="108">
        <v>458</v>
      </c>
      <c r="F15" s="108">
        <v>7867</v>
      </c>
      <c r="G15" s="108">
        <v>0</v>
      </c>
      <c r="H15" s="108">
        <v>0</v>
      </c>
      <c r="I15" s="108">
        <v>2</v>
      </c>
      <c r="J15" s="108">
        <v>725</v>
      </c>
      <c r="K15" s="108">
        <v>1</v>
      </c>
      <c r="L15" s="108">
        <v>1</v>
      </c>
      <c r="M15" s="108">
        <v>0</v>
      </c>
      <c r="N15" s="108">
        <v>0</v>
      </c>
      <c r="O15" s="108">
        <f t="shared" si="0"/>
        <v>461</v>
      </c>
      <c r="P15" s="108">
        <f t="shared" si="1"/>
        <v>8593</v>
      </c>
      <c r="Q15" s="109">
        <f t="shared" si="2"/>
        <v>45.858682890383179</v>
      </c>
    </row>
    <row r="16" spans="1:17" s="71" customFormat="1" x14ac:dyDescent="0.2">
      <c r="A16" s="65">
        <v>11</v>
      </c>
      <c r="B16" s="107" t="s">
        <v>82</v>
      </c>
      <c r="C16" s="108">
        <v>5422</v>
      </c>
      <c r="D16" s="108">
        <v>19800</v>
      </c>
      <c r="E16" s="108">
        <v>10619</v>
      </c>
      <c r="F16" s="108">
        <v>26400</v>
      </c>
      <c r="G16" s="108">
        <v>485</v>
      </c>
      <c r="H16" s="108">
        <v>22316</v>
      </c>
      <c r="I16" s="108">
        <v>37</v>
      </c>
      <c r="J16" s="108">
        <v>4467</v>
      </c>
      <c r="K16" s="108">
        <v>40</v>
      </c>
      <c r="L16" s="108">
        <v>2838</v>
      </c>
      <c r="M16" s="108">
        <v>0</v>
      </c>
      <c r="N16" s="108">
        <v>0</v>
      </c>
      <c r="O16" s="108">
        <f t="shared" si="0"/>
        <v>11181</v>
      </c>
      <c r="P16" s="108">
        <f t="shared" si="1"/>
        <v>56021</v>
      </c>
      <c r="Q16" s="109">
        <f t="shared" si="2"/>
        <v>282.93434343434342</v>
      </c>
    </row>
    <row r="17" spans="1:17" s="71" customFormat="1" x14ac:dyDescent="0.2">
      <c r="A17" s="65">
        <v>12</v>
      </c>
      <c r="B17" s="107" t="s">
        <v>63</v>
      </c>
      <c r="C17" s="108">
        <v>1846</v>
      </c>
      <c r="D17" s="108">
        <v>7307</v>
      </c>
      <c r="E17" s="108">
        <v>1932</v>
      </c>
      <c r="F17" s="108">
        <v>4832</v>
      </c>
      <c r="G17" s="108">
        <v>129</v>
      </c>
      <c r="H17" s="108">
        <v>1015</v>
      </c>
      <c r="I17" s="108">
        <v>11</v>
      </c>
      <c r="J17" s="108">
        <v>24</v>
      </c>
      <c r="K17" s="108">
        <v>92</v>
      </c>
      <c r="L17" s="108">
        <v>316</v>
      </c>
      <c r="M17" s="108">
        <v>2122</v>
      </c>
      <c r="N17" s="108">
        <v>6115</v>
      </c>
      <c r="O17" s="108">
        <f t="shared" si="0"/>
        <v>4286</v>
      </c>
      <c r="P17" s="108">
        <f t="shared" si="1"/>
        <v>12302</v>
      </c>
      <c r="Q17" s="109">
        <f t="shared" si="2"/>
        <v>168.35910770494047</v>
      </c>
    </row>
    <row r="18" spans="1:17" s="71" customFormat="1" x14ac:dyDescent="0.2">
      <c r="A18" s="65">
        <v>13</v>
      </c>
      <c r="B18" s="107" t="s">
        <v>64</v>
      </c>
      <c r="C18" s="108">
        <v>1874</v>
      </c>
      <c r="D18" s="108">
        <v>8495</v>
      </c>
      <c r="E18" s="108">
        <v>434</v>
      </c>
      <c r="F18" s="108">
        <v>701</v>
      </c>
      <c r="G18" s="108">
        <v>6</v>
      </c>
      <c r="H18" s="108">
        <v>182</v>
      </c>
      <c r="I18" s="108">
        <v>2</v>
      </c>
      <c r="J18" s="108">
        <v>63</v>
      </c>
      <c r="K18" s="108">
        <v>0</v>
      </c>
      <c r="L18" s="108">
        <v>0</v>
      </c>
      <c r="M18" s="108">
        <v>504</v>
      </c>
      <c r="N18" s="108">
        <v>1769</v>
      </c>
      <c r="O18" s="108">
        <f t="shared" si="0"/>
        <v>946</v>
      </c>
      <c r="P18" s="108">
        <f t="shared" si="1"/>
        <v>2715</v>
      </c>
      <c r="Q18" s="109">
        <f t="shared" si="2"/>
        <v>31.959976456739259</v>
      </c>
    </row>
    <row r="19" spans="1:17" s="71" customFormat="1" x14ac:dyDescent="0.2">
      <c r="A19" s="65">
        <v>14</v>
      </c>
      <c r="B19" s="111" t="s">
        <v>208</v>
      </c>
      <c r="C19" s="108">
        <v>4046</v>
      </c>
      <c r="D19" s="108">
        <v>16253</v>
      </c>
      <c r="E19" s="108">
        <v>483</v>
      </c>
      <c r="F19" s="108">
        <v>1127.21</v>
      </c>
      <c r="G19" s="108">
        <v>112</v>
      </c>
      <c r="H19" s="108">
        <v>1351.12</v>
      </c>
      <c r="I19" s="108">
        <v>6</v>
      </c>
      <c r="J19" s="108">
        <v>362.01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0"/>
        <v>601</v>
      </c>
      <c r="P19" s="108">
        <f t="shared" si="1"/>
        <v>2840.34</v>
      </c>
      <c r="Q19" s="109">
        <f t="shared" si="2"/>
        <v>17.475789085091982</v>
      </c>
    </row>
    <row r="20" spans="1:17" s="71" customFormat="1" x14ac:dyDescent="0.2">
      <c r="A20" s="65">
        <v>15</v>
      </c>
      <c r="B20" s="107" t="s">
        <v>209</v>
      </c>
      <c r="C20" s="108">
        <v>2008</v>
      </c>
      <c r="D20" s="108">
        <v>8121</v>
      </c>
      <c r="E20" s="108">
        <v>204</v>
      </c>
      <c r="F20" s="108">
        <v>1243.08</v>
      </c>
      <c r="G20" s="108">
        <v>306</v>
      </c>
      <c r="H20" s="108">
        <v>1864.62</v>
      </c>
      <c r="I20" s="108">
        <v>0</v>
      </c>
      <c r="J20" s="108">
        <v>0</v>
      </c>
      <c r="K20" s="108">
        <v>1</v>
      </c>
      <c r="L20" s="108">
        <v>5</v>
      </c>
      <c r="M20" s="108">
        <v>0</v>
      </c>
      <c r="N20" s="108">
        <v>0</v>
      </c>
      <c r="O20" s="108">
        <f t="shared" si="0"/>
        <v>511</v>
      </c>
      <c r="P20" s="108">
        <f t="shared" si="1"/>
        <v>3112.7</v>
      </c>
      <c r="Q20" s="109">
        <f t="shared" si="2"/>
        <v>38.329023519271026</v>
      </c>
    </row>
    <row r="21" spans="1:17" s="71" customFormat="1" x14ac:dyDescent="0.2">
      <c r="A21" s="65">
        <v>16</v>
      </c>
      <c r="B21" s="107" t="s">
        <v>65</v>
      </c>
      <c r="C21" s="108">
        <v>28512</v>
      </c>
      <c r="D21" s="108">
        <v>122478</v>
      </c>
      <c r="E21" s="108">
        <v>14377</v>
      </c>
      <c r="F21" s="108">
        <v>78431</v>
      </c>
      <c r="G21" s="108">
        <v>1380</v>
      </c>
      <c r="H21" s="108">
        <v>79605</v>
      </c>
      <c r="I21" s="108">
        <v>79</v>
      </c>
      <c r="J21" s="108">
        <v>24946</v>
      </c>
      <c r="K21" s="108">
        <v>9</v>
      </c>
      <c r="L21" s="108">
        <v>38</v>
      </c>
      <c r="M21" s="108">
        <v>0</v>
      </c>
      <c r="N21" s="108">
        <v>0</v>
      </c>
      <c r="O21" s="108">
        <f t="shared" si="0"/>
        <v>15845</v>
      </c>
      <c r="P21" s="108">
        <f t="shared" si="1"/>
        <v>183020</v>
      </c>
      <c r="Q21" s="109">
        <f t="shared" si="2"/>
        <v>149.43091820571857</v>
      </c>
    </row>
    <row r="22" spans="1:17" s="71" customFormat="1" x14ac:dyDescent="0.2">
      <c r="A22" s="65">
        <v>17</v>
      </c>
      <c r="B22" s="112" t="s">
        <v>70</v>
      </c>
      <c r="C22" s="108">
        <v>326</v>
      </c>
      <c r="D22" s="108">
        <v>1762</v>
      </c>
      <c r="E22" s="108">
        <v>38</v>
      </c>
      <c r="F22" s="108">
        <v>196.62</v>
      </c>
      <c r="G22" s="108">
        <v>4</v>
      </c>
      <c r="H22" s="108">
        <v>270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0"/>
        <v>42</v>
      </c>
      <c r="P22" s="108">
        <f t="shared" si="1"/>
        <v>466.62</v>
      </c>
      <c r="Q22" s="109">
        <f t="shared" si="2"/>
        <v>26.482406356413168</v>
      </c>
    </row>
    <row r="23" spans="1:17" s="71" customFormat="1" x14ac:dyDescent="0.2">
      <c r="A23" s="65">
        <v>18</v>
      </c>
      <c r="B23" s="107" t="s">
        <v>210</v>
      </c>
      <c r="C23" s="108">
        <v>298</v>
      </c>
      <c r="D23" s="108">
        <v>1375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0"/>
        <v>0</v>
      </c>
      <c r="P23" s="108">
        <f t="shared" si="1"/>
        <v>0</v>
      </c>
      <c r="Q23" s="109">
        <f t="shared" si="2"/>
        <v>0</v>
      </c>
    </row>
    <row r="24" spans="1:17" s="71" customFormat="1" x14ac:dyDescent="0.2">
      <c r="A24" s="65">
        <v>19</v>
      </c>
      <c r="B24" s="113" t="s">
        <v>211</v>
      </c>
      <c r="C24" s="108">
        <v>896</v>
      </c>
      <c r="D24" s="108">
        <v>4096</v>
      </c>
      <c r="E24" s="108">
        <v>48</v>
      </c>
      <c r="F24" s="108">
        <v>239.68</v>
      </c>
      <c r="G24" s="108">
        <v>7</v>
      </c>
      <c r="H24" s="108">
        <v>364.38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0"/>
        <v>55</v>
      </c>
      <c r="P24" s="108">
        <f t="shared" si="1"/>
        <v>604.05999999999995</v>
      </c>
      <c r="Q24" s="109">
        <f t="shared" si="2"/>
        <v>14.747558593749998</v>
      </c>
    </row>
    <row r="25" spans="1:17" s="71" customFormat="1" x14ac:dyDescent="0.2">
      <c r="A25" s="65">
        <v>20</v>
      </c>
      <c r="B25" s="107" t="s">
        <v>212</v>
      </c>
      <c r="C25" s="108">
        <v>2994</v>
      </c>
      <c r="D25" s="108">
        <v>16183</v>
      </c>
      <c r="E25" s="108">
        <v>16</v>
      </c>
      <c r="F25" s="108">
        <v>50</v>
      </c>
      <c r="G25" s="108">
        <v>60</v>
      </c>
      <c r="H25" s="108">
        <v>100</v>
      </c>
      <c r="I25" s="108">
        <v>308</v>
      </c>
      <c r="J25" s="108">
        <v>305</v>
      </c>
      <c r="K25" s="108">
        <v>0</v>
      </c>
      <c r="L25" s="108">
        <v>0</v>
      </c>
      <c r="M25" s="108">
        <v>15</v>
      </c>
      <c r="N25" s="108">
        <v>200</v>
      </c>
      <c r="O25" s="108">
        <f t="shared" si="0"/>
        <v>399</v>
      </c>
      <c r="P25" s="108">
        <f t="shared" si="1"/>
        <v>655</v>
      </c>
      <c r="Q25" s="109">
        <f t="shared" si="2"/>
        <v>4.0474572081814246</v>
      </c>
    </row>
    <row r="26" spans="1:17" s="71" customFormat="1" x14ac:dyDescent="0.2">
      <c r="A26" s="65">
        <v>21</v>
      </c>
      <c r="B26" s="107" t="s">
        <v>213</v>
      </c>
      <c r="C26" s="108">
        <v>966</v>
      </c>
      <c r="D26" s="108">
        <v>4326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0"/>
        <v>0</v>
      </c>
      <c r="P26" s="108">
        <f t="shared" si="1"/>
        <v>0</v>
      </c>
      <c r="Q26" s="109">
        <f t="shared" si="2"/>
        <v>0</v>
      </c>
    </row>
    <row r="27" spans="1:17" s="71" customFormat="1" x14ac:dyDescent="0.2">
      <c r="A27" s="65">
        <v>22</v>
      </c>
      <c r="B27" s="107" t="s">
        <v>71</v>
      </c>
      <c r="C27" s="108">
        <v>117829</v>
      </c>
      <c r="D27" s="108">
        <v>451789</v>
      </c>
      <c r="E27" s="108">
        <v>5194</v>
      </c>
      <c r="F27" s="108">
        <v>20312</v>
      </c>
      <c r="G27" s="108">
        <v>341</v>
      </c>
      <c r="H27" s="108">
        <v>29764</v>
      </c>
      <c r="I27" s="108">
        <v>138</v>
      </c>
      <c r="J27" s="108">
        <v>31662</v>
      </c>
      <c r="K27" s="108">
        <v>110</v>
      </c>
      <c r="L27" s="108">
        <v>371</v>
      </c>
      <c r="M27" s="108">
        <v>5344</v>
      </c>
      <c r="N27" s="108">
        <v>17374</v>
      </c>
      <c r="O27" s="108">
        <f t="shared" si="0"/>
        <v>11127</v>
      </c>
      <c r="P27" s="108">
        <f t="shared" si="1"/>
        <v>99483</v>
      </c>
      <c r="Q27" s="109">
        <f t="shared" si="2"/>
        <v>22.019792425225049</v>
      </c>
    </row>
    <row r="28" spans="1:17" s="71" customFormat="1" x14ac:dyDescent="0.2">
      <c r="A28" s="65">
        <v>23</v>
      </c>
      <c r="B28" s="107" t="s">
        <v>66</v>
      </c>
      <c r="C28" s="108">
        <v>3768</v>
      </c>
      <c r="D28" s="108">
        <v>16286</v>
      </c>
      <c r="E28" s="108">
        <v>2302</v>
      </c>
      <c r="F28" s="108">
        <v>9203</v>
      </c>
      <c r="G28" s="108">
        <v>339</v>
      </c>
      <c r="H28" s="108">
        <v>5064</v>
      </c>
      <c r="I28" s="108">
        <v>21</v>
      </c>
      <c r="J28" s="108">
        <v>1902</v>
      </c>
      <c r="K28" s="108">
        <v>2</v>
      </c>
      <c r="L28" s="108">
        <v>21.38</v>
      </c>
      <c r="M28" s="108">
        <v>82</v>
      </c>
      <c r="N28" s="108">
        <v>278</v>
      </c>
      <c r="O28" s="108">
        <f t="shared" si="0"/>
        <v>2746</v>
      </c>
      <c r="P28" s="108">
        <f t="shared" si="1"/>
        <v>16468.379999999997</v>
      </c>
      <c r="Q28" s="109">
        <f t="shared" si="2"/>
        <v>101.11985754635882</v>
      </c>
    </row>
    <row r="29" spans="1:17" s="71" customFormat="1" x14ac:dyDescent="0.2">
      <c r="A29" s="65">
        <v>24</v>
      </c>
      <c r="B29" s="107" t="s">
        <v>214</v>
      </c>
      <c r="C29" s="108">
        <v>12924</v>
      </c>
      <c r="D29" s="108">
        <v>57574</v>
      </c>
      <c r="E29" s="108">
        <v>1020</v>
      </c>
      <c r="F29" s="108">
        <v>10040</v>
      </c>
      <c r="G29" s="108">
        <v>98</v>
      </c>
      <c r="H29" s="108">
        <v>844</v>
      </c>
      <c r="I29" s="108">
        <v>0</v>
      </c>
      <c r="J29" s="108">
        <v>0</v>
      </c>
      <c r="K29" s="108">
        <v>1</v>
      </c>
      <c r="L29" s="108">
        <v>3</v>
      </c>
      <c r="M29" s="108">
        <v>350</v>
      </c>
      <c r="N29" s="108">
        <v>557</v>
      </c>
      <c r="O29" s="108">
        <f t="shared" si="0"/>
        <v>1469</v>
      </c>
      <c r="P29" s="108">
        <f t="shared" si="1"/>
        <v>11444</v>
      </c>
      <c r="Q29" s="109">
        <f t="shared" si="2"/>
        <v>19.877027825059923</v>
      </c>
    </row>
    <row r="30" spans="1:17" s="71" customFormat="1" x14ac:dyDescent="0.2">
      <c r="A30" s="65">
        <v>25</v>
      </c>
      <c r="B30" s="107" t="s">
        <v>67</v>
      </c>
      <c r="C30" s="108">
        <v>16712</v>
      </c>
      <c r="D30" s="108">
        <v>47945</v>
      </c>
      <c r="E30" s="108">
        <v>4158</v>
      </c>
      <c r="F30" s="108">
        <v>7060.94</v>
      </c>
      <c r="G30" s="108">
        <v>523</v>
      </c>
      <c r="H30" s="108">
        <v>3235.87</v>
      </c>
      <c r="I30" s="108">
        <v>389</v>
      </c>
      <c r="J30" s="108">
        <v>10498.41</v>
      </c>
      <c r="K30" s="108">
        <v>2</v>
      </c>
      <c r="L30" s="108">
        <v>10.48</v>
      </c>
      <c r="M30" s="108">
        <v>0</v>
      </c>
      <c r="N30" s="108">
        <v>0</v>
      </c>
      <c r="O30" s="108">
        <f t="shared" si="0"/>
        <v>5072</v>
      </c>
      <c r="P30" s="108">
        <f t="shared" si="1"/>
        <v>20805.7</v>
      </c>
      <c r="Q30" s="109">
        <f t="shared" si="2"/>
        <v>43.394931692564398</v>
      </c>
    </row>
    <row r="31" spans="1:17" s="71" customFormat="1" x14ac:dyDescent="0.2">
      <c r="A31" s="65">
        <v>26</v>
      </c>
      <c r="B31" s="110" t="s">
        <v>68</v>
      </c>
      <c r="C31" s="108">
        <v>1228</v>
      </c>
      <c r="D31" s="108">
        <v>5724</v>
      </c>
      <c r="E31" s="108">
        <v>776</v>
      </c>
      <c r="F31" s="108">
        <v>4069</v>
      </c>
      <c r="G31" s="108">
        <v>1</v>
      </c>
      <c r="H31" s="108">
        <v>20</v>
      </c>
      <c r="I31" s="108">
        <v>275</v>
      </c>
      <c r="J31" s="108">
        <v>2193</v>
      </c>
      <c r="K31" s="108">
        <v>2</v>
      </c>
      <c r="L31" s="108">
        <v>3</v>
      </c>
      <c r="M31" s="108">
        <v>0</v>
      </c>
      <c r="N31" s="108">
        <v>0</v>
      </c>
      <c r="O31" s="108">
        <f t="shared" si="0"/>
        <v>1054</v>
      </c>
      <c r="P31" s="108">
        <f t="shared" si="1"/>
        <v>6285</v>
      </c>
      <c r="Q31" s="109">
        <f t="shared" si="2"/>
        <v>109.80083857442348</v>
      </c>
    </row>
    <row r="32" spans="1:17" s="71" customFormat="1" x14ac:dyDescent="0.2">
      <c r="A32" s="65">
        <v>27</v>
      </c>
      <c r="B32" s="107" t="s">
        <v>51</v>
      </c>
      <c r="C32" s="108">
        <v>1648</v>
      </c>
      <c r="D32" s="108">
        <v>6743</v>
      </c>
      <c r="E32" s="108">
        <v>1082</v>
      </c>
      <c r="F32" s="108">
        <v>2125</v>
      </c>
      <c r="G32" s="108">
        <v>184</v>
      </c>
      <c r="H32" s="108">
        <v>1952</v>
      </c>
      <c r="I32" s="108">
        <v>2</v>
      </c>
      <c r="J32" s="108">
        <v>643</v>
      </c>
      <c r="K32" s="108">
        <v>0</v>
      </c>
      <c r="L32" s="108">
        <v>0</v>
      </c>
      <c r="M32" s="108">
        <v>0</v>
      </c>
      <c r="N32" s="108">
        <v>0</v>
      </c>
      <c r="O32" s="108">
        <f t="shared" si="0"/>
        <v>1268</v>
      </c>
      <c r="P32" s="108">
        <f t="shared" ref="P32:P61" si="3">F32+H32+J32+L32+N32</f>
        <v>4720</v>
      </c>
      <c r="Q32" s="109">
        <f t="shared" si="2"/>
        <v>69.998516980572447</v>
      </c>
    </row>
    <row r="33" spans="1:17" s="117" customFormat="1" x14ac:dyDescent="0.2">
      <c r="A33" s="382"/>
      <c r="B33" s="114" t="s">
        <v>215</v>
      </c>
      <c r="C33" s="115">
        <f>SUM(C6:C32)</f>
        <v>281421</v>
      </c>
      <c r="D33" s="115">
        <f>SUM(D6:D32)</f>
        <v>1194825</v>
      </c>
      <c r="E33" s="115">
        <f t="shared" ref="E33:N33" si="4">SUM(E6:E32)</f>
        <v>84027</v>
      </c>
      <c r="F33" s="115">
        <f t="shared" si="4"/>
        <v>297451.94</v>
      </c>
      <c r="G33" s="115">
        <f t="shared" si="4"/>
        <v>9551</v>
      </c>
      <c r="H33" s="115">
        <f t="shared" si="4"/>
        <v>298282.52</v>
      </c>
      <c r="I33" s="115">
        <f t="shared" si="4"/>
        <v>1827</v>
      </c>
      <c r="J33" s="115">
        <f t="shared" si="4"/>
        <v>101212.87</v>
      </c>
      <c r="K33" s="115">
        <f t="shared" si="4"/>
        <v>484</v>
      </c>
      <c r="L33" s="115">
        <f t="shared" si="4"/>
        <v>4468.9399999999996</v>
      </c>
      <c r="M33" s="115">
        <f t="shared" si="4"/>
        <v>8506</v>
      </c>
      <c r="N33" s="115">
        <f t="shared" si="4"/>
        <v>26546.22</v>
      </c>
      <c r="O33" s="115">
        <f t="shared" ref="O33" si="5">SUM(O6:O32)</f>
        <v>104395</v>
      </c>
      <c r="P33" s="115">
        <f t="shared" ref="P33" si="6">SUM(P6:P32)</f>
        <v>727962.49</v>
      </c>
      <c r="Q33" s="106">
        <f t="shared" si="2"/>
        <v>60.926285439290275</v>
      </c>
    </row>
    <row r="34" spans="1:17" s="71" customFormat="1" x14ac:dyDescent="0.2">
      <c r="A34" s="65">
        <v>28</v>
      </c>
      <c r="B34" s="107" t="s">
        <v>48</v>
      </c>
      <c r="C34" s="108">
        <v>10504</v>
      </c>
      <c r="D34" s="108">
        <v>50015</v>
      </c>
      <c r="E34" s="108">
        <v>791</v>
      </c>
      <c r="F34" s="108">
        <v>8279.91</v>
      </c>
      <c r="G34" s="108">
        <v>312</v>
      </c>
      <c r="H34" s="108">
        <v>7249.64</v>
      </c>
      <c r="I34" s="108">
        <v>63</v>
      </c>
      <c r="J34" s="108">
        <v>5129.03</v>
      </c>
      <c r="K34" s="108">
        <v>0</v>
      </c>
      <c r="L34" s="108">
        <v>0</v>
      </c>
      <c r="M34" s="108">
        <v>0</v>
      </c>
      <c r="N34" s="108">
        <v>0</v>
      </c>
      <c r="O34" s="108">
        <f t="shared" si="0"/>
        <v>1166</v>
      </c>
      <c r="P34" s="108">
        <f t="shared" si="3"/>
        <v>20658.579999999998</v>
      </c>
      <c r="Q34" s="109">
        <f t="shared" si="2"/>
        <v>41.304768569429164</v>
      </c>
    </row>
    <row r="35" spans="1:17" s="71" customFormat="1" x14ac:dyDescent="0.2">
      <c r="A35" s="65">
        <v>29</v>
      </c>
      <c r="B35" s="107" t="s">
        <v>216</v>
      </c>
      <c r="C35" s="108">
        <v>132</v>
      </c>
      <c r="D35" s="108">
        <v>468</v>
      </c>
      <c r="E35" s="108">
        <v>1319</v>
      </c>
      <c r="F35" s="108">
        <v>25312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f t="shared" si="0"/>
        <v>1319</v>
      </c>
      <c r="P35" s="108">
        <f t="shared" si="3"/>
        <v>25312</v>
      </c>
      <c r="Q35" s="109">
        <f t="shared" si="2"/>
        <v>5408.5470085470088</v>
      </c>
    </row>
    <row r="36" spans="1:17" s="71" customFormat="1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f t="shared" si="0"/>
        <v>0</v>
      </c>
      <c r="P36" s="108">
        <f t="shared" si="3"/>
        <v>0</v>
      </c>
      <c r="Q36" s="109">
        <v>0</v>
      </c>
    </row>
    <row r="37" spans="1:17" s="71" customFormat="1" x14ac:dyDescent="0.2">
      <c r="A37" s="65">
        <v>31</v>
      </c>
      <c r="B37" s="66" t="s">
        <v>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f t="shared" si="0"/>
        <v>0</v>
      </c>
      <c r="P37" s="108">
        <f t="shared" si="3"/>
        <v>0</v>
      </c>
      <c r="Q37" s="109">
        <v>0</v>
      </c>
    </row>
    <row r="38" spans="1:17" s="71" customFormat="1" x14ac:dyDescent="0.2">
      <c r="A38" s="65">
        <v>32</v>
      </c>
      <c r="B38" s="107" t="s">
        <v>52</v>
      </c>
      <c r="C38" s="108">
        <v>166</v>
      </c>
      <c r="D38" s="108">
        <v>906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f t="shared" si="0"/>
        <v>0</v>
      </c>
      <c r="P38" s="108">
        <f t="shared" si="3"/>
        <v>0</v>
      </c>
      <c r="Q38" s="109">
        <f t="shared" si="2"/>
        <v>0</v>
      </c>
    </row>
    <row r="39" spans="1:17" s="71" customFormat="1" x14ac:dyDescent="0.2">
      <c r="A39" s="65">
        <v>33</v>
      </c>
      <c r="B39" s="107" t="s">
        <v>218</v>
      </c>
      <c r="C39" s="108">
        <v>19</v>
      </c>
      <c r="D39" s="108">
        <v>226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f t="shared" si="0"/>
        <v>0</v>
      </c>
      <c r="P39" s="108">
        <f t="shared" si="3"/>
        <v>0</v>
      </c>
      <c r="Q39" s="109">
        <f t="shared" si="2"/>
        <v>0</v>
      </c>
    </row>
    <row r="40" spans="1:17" s="71" customFormat="1" x14ac:dyDescent="0.2">
      <c r="A40" s="65">
        <v>34</v>
      </c>
      <c r="B40" s="107" t="s">
        <v>219</v>
      </c>
      <c r="C40" s="108">
        <v>104</v>
      </c>
      <c r="D40" s="108">
        <v>399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f t="shared" si="0"/>
        <v>0</v>
      </c>
      <c r="P40" s="108">
        <f t="shared" si="3"/>
        <v>0</v>
      </c>
      <c r="Q40" s="109">
        <f t="shared" si="2"/>
        <v>0</v>
      </c>
    </row>
    <row r="41" spans="1:17" s="71" customFormat="1" x14ac:dyDescent="0.2">
      <c r="A41" s="65">
        <v>35</v>
      </c>
      <c r="B41" s="107" t="s">
        <v>220</v>
      </c>
      <c r="C41" s="108">
        <v>575</v>
      </c>
      <c r="D41" s="108">
        <v>2268</v>
      </c>
      <c r="E41" s="108">
        <v>42</v>
      </c>
      <c r="F41" s="108">
        <v>1074.97</v>
      </c>
      <c r="G41" s="108">
        <v>11</v>
      </c>
      <c r="H41" s="108">
        <v>562.22</v>
      </c>
      <c r="I41" s="108">
        <v>1</v>
      </c>
      <c r="J41" s="108">
        <v>850</v>
      </c>
      <c r="K41" s="108">
        <v>0</v>
      </c>
      <c r="L41" s="108">
        <v>0</v>
      </c>
      <c r="M41" s="108">
        <v>0</v>
      </c>
      <c r="N41" s="108">
        <v>0</v>
      </c>
      <c r="O41" s="108">
        <f t="shared" si="0"/>
        <v>54</v>
      </c>
      <c r="P41" s="108">
        <f t="shared" si="3"/>
        <v>2487.19</v>
      </c>
      <c r="Q41" s="109">
        <f t="shared" si="2"/>
        <v>109.66446208112875</v>
      </c>
    </row>
    <row r="42" spans="1:17" s="71" customFormat="1" x14ac:dyDescent="0.2">
      <c r="A42" s="65">
        <v>36</v>
      </c>
      <c r="B42" s="107" t="s">
        <v>72</v>
      </c>
      <c r="C42" s="108">
        <v>13760</v>
      </c>
      <c r="D42" s="108">
        <v>65246</v>
      </c>
      <c r="E42" s="108">
        <v>43455</v>
      </c>
      <c r="F42" s="108">
        <v>39535</v>
      </c>
      <c r="G42" s="108">
        <v>1377</v>
      </c>
      <c r="H42" s="108">
        <v>28721</v>
      </c>
      <c r="I42" s="108">
        <v>80</v>
      </c>
      <c r="J42" s="108">
        <v>3192</v>
      </c>
      <c r="K42" s="108">
        <v>0</v>
      </c>
      <c r="L42" s="108">
        <v>0</v>
      </c>
      <c r="M42" s="108">
        <v>0</v>
      </c>
      <c r="N42" s="108">
        <v>0</v>
      </c>
      <c r="O42" s="108">
        <f t="shared" si="0"/>
        <v>44912</v>
      </c>
      <c r="P42" s="108">
        <f t="shared" si="3"/>
        <v>71448</v>
      </c>
      <c r="Q42" s="109">
        <f t="shared" si="2"/>
        <v>109.50556355945191</v>
      </c>
    </row>
    <row r="43" spans="1:17" s="71" customFormat="1" x14ac:dyDescent="0.2">
      <c r="A43" s="65">
        <v>37</v>
      </c>
      <c r="B43" s="107" t="s">
        <v>73</v>
      </c>
      <c r="C43" s="108">
        <v>12948</v>
      </c>
      <c r="D43" s="108">
        <v>58329</v>
      </c>
      <c r="E43" s="108">
        <v>1747</v>
      </c>
      <c r="F43" s="108">
        <v>77891.25</v>
      </c>
      <c r="G43" s="108">
        <v>2884</v>
      </c>
      <c r="H43" s="108">
        <v>48564.78</v>
      </c>
      <c r="I43" s="108">
        <v>50</v>
      </c>
      <c r="J43" s="108">
        <v>4058.98</v>
      </c>
      <c r="K43" s="108">
        <v>0</v>
      </c>
      <c r="L43" s="108">
        <v>0</v>
      </c>
      <c r="M43" s="108">
        <v>0</v>
      </c>
      <c r="N43" s="108">
        <v>0</v>
      </c>
      <c r="O43" s="108">
        <f t="shared" si="0"/>
        <v>4681</v>
      </c>
      <c r="P43" s="108">
        <f t="shared" si="3"/>
        <v>130515.01</v>
      </c>
      <c r="Q43" s="109">
        <f t="shared" si="2"/>
        <v>223.75663906461622</v>
      </c>
    </row>
    <row r="44" spans="1:17" s="71" customFormat="1" x14ac:dyDescent="0.2">
      <c r="A44" s="65">
        <v>38</v>
      </c>
      <c r="B44" s="107" t="s">
        <v>221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f t="shared" si="0"/>
        <v>0</v>
      </c>
      <c r="P44" s="108">
        <f t="shared" si="3"/>
        <v>0</v>
      </c>
      <c r="Q44" s="109">
        <v>0</v>
      </c>
    </row>
    <row r="45" spans="1:17" s="71" customFormat="1" x14ac:dyDescent="0.2">
      <c r="A45" s="65">
        <v>39</v>
      </c>
      <c r="B45" s="107" t="s">
        <v>222</v>
      </c>
      <c r="C45" s="108">
        <v>3170</v>
      </c>
      <c r="D45" s="108">
        <v>16864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4155</v>
      </c>
      <c r="N45" s="108">
        <v>18593</v>
      </c>
      <c r="O45" s="108">
        <f t="shared" si="0"/>
        <v>4155</v>
      </c>
      <c r="P45" s="108">
        <f t="shared" si="3"/>
        <v>18593</v>
      </c>
      <c r="Q45" s="109">
        <f t="shared" si="2"/>
        <v>110.25260910815939</v>
      </c>
    </row>
    <row r="46" spans="1:17" s="71" customFormat="1" x14ac:dyDescent="0.2">
      <c r="A46" s="65">
        <v>40</v>
      </c>
      <c r="B46" s="107" t="s">
        <v>223</v>
      </c>
      <c r="C46" s="108">
        <v>468</v>
      </c>
      <c r="D46" s="108">
        <v>2748</v>
      </c>
      <c r="E46" s="108">
        <v>0</v>
      </c>
      <c r="F46" s="108">
        <v>0</v>
      </c>
      <c r="G46" s="108">
        <v>5</v>
      </c>
      <c r="H46" s="108">
        <v>22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f t="shared" si="0"/>
        <v>5</v>
      </c>
      <c r="P46" s="108">
        <f t="shared" si="3"/>
        <v>22</v>
      </c>
      <c r="Q46" s="109">
        <f t="shared" si="2"/>
        <v>0.80058224163027658</v>
      </c>
    </row>
    <row r="47" spans="1:17" s="71" customFormat="1" x14ac:dyDescent="0.2">
      <c r="A47" s="65">
        <v>41</v>
      </c>
      <c r="B47" s="107" t="s">
        <v>224</v>
      </c>
      <c r="C47" s="108">
        <v>792</v>
      </c>
      <c r="D47" s="108">
        <v>3084</v>
      </c>
      <c r="E47" s="108">
        <v>37</v>
      </c>
      <c r="F47" s="108">
        <v>102.24</v>
      </c>
      <c r="G47" s="108">
        <v>10</v>
      </c>
      <c r="H47" s="108">
        <v>821.38</v>
      </c>
      <c r="I47" s="108">
        <v>1</v>
      </c>
      <c r="J47" s="108">
        <v>381.66</v>
      </c>
      <c r="K47" s="108">
        <v>0</v>
      </c>
      <c r="L47" s="108">
        <v>0</v>
      </c>
      <c r="M47" s="108">
        <v>21</v>
      </c>
      <c r="N47" s="108">
        <v>318.58999999999997</v>
      </c>
      <c r="O47" s="108">
        <f t="shared" si="0"/>
        <v>69</v>
      </c>
      <c r="P47" s="108">
        <f t="shared" si="3"/>
        <v>1623.87</v>
      </c>
      <c r="Q47" s="109">
        <f t="shared" si="2"/>
        <v>52.654669260700388</v>
      </c>
    </row>
    <row r="48" spans="1:17" s="71" customFormat="1" x14ac:dyDescent="0.2">
      <c r="A48" s="65">
        <v>42</v>
      </c>
      <c r="B48" s="107" t="s">
        <v>225</v>
      </c>
      <c r="C48" s="108">
        <v>238</v>
      </c>
      <c r="D48" s="108">
        <v>1273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v>0</v>
      </c>
      <c r="N48" s="108">
        <v>0</v>
      </c>
      <c r="O48" s="108">
        <f t="shared" si="0"/>
        <v>0</v>
      </c>
      <c r="P48" s="108">
        <f t="shared" si="3"/>
        <v>0</v>
      </c>
      <c r="Q48" s="109">
        <f t="shared" si="2"/>
        <v>0</v>
      </c>
    </row>
    <row r="49" spans="1:17" s="71" customFormat="1" x14ac:dyDescent="0.2">
      <c r="A49" s="65">
        <v>43</v>
      </c>
      <c r="B49" s="116" t="s">
        <v>74</v>
      </c>
      <c r="C49" s="108">
        <v>3716</v>
      </c>
      <c r="D49" s="108">
        <v>20050</v>
      </c>
      <c r="E49" s="108">
        <v>212</v>
      </c>
      <c r="F49" s="108">
        <v>3512</v>
      </c>
      <c r="G49" s="108">
        <v>312</v>
      </c>
      <c r="H49" s="108">
        <v>5066</v>
      </c>
      <c r="I49" s="108">
        <v>50</v>
      </c>
      <c r="J49" s="108">
        <v>1199</v>
      </c>
      <c r="K49" s="108">
        <v>0</v>
      </c>
      <c r="L49" s="108">
        <v>0</v>
      </c>
      <c r="M49" s="108">
        <v>0</v>
      </c>
      <c r="N49" s="108">
        <v>0</v>
      </c>
      <c r="O49" s="108">
        <f t="shared" si="0"/>
        <v>574</v>
      </c>
      <c r="P49" s="108">
        <f t="shared" si="3"/>
        <v>9777</v>
      </c>
      <c r="Q49" s="109">
        <f t="shared" si="2"/>
        <v>48.763092269326684</v>
      </c>
    </row>
    <row r="50" spans="1:17" s="71" customFormat="1" x14ac:dyDescent="0.2">
      <c r="A50" s="65">
        <v>44</v>
      </c>
      <c r="B50" s="107" t="s">
        <v>226</v>
      </c>
      <c r="C50" s="108">
        <v>172</v>
      </c>
      <c r="D50" s="108">
        <v>936</v>
      </c>
      <c r="E50" s="108">
        <v>2</v>
      </c>
      <c r="F50" s="108">
        <v>122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  <c r="O50" s="108">
        <f t="shared" si="0"/>
        <v>2</v>
      </c>
      <c r="P50" s="108">
        <f t="shared" si="3"/>
        <v>122</v>
      </c>
      <c r="Q50" s="109">
        <f t="shared" si="2"/>
        <v>13.034188034188034</v>
      </c>
    </row>
    <row r="51" spans="1:17" s="71" customFormat="1" x14ac:dyDescent="0.2">
      <c r="A51" s="65">
        <v>45</v>
      </c>
      <c r="B51" s="107" t="s">
        <v>227</v>
      </c>
      <c r="C51" s="108">
        <v>88</v>
      </c>
      <c r="D51" s="108">
        <v>358</v>
      </c>
      <c r="E51" s="108">
        <v>435</v>
      </c>
      <c r="F51" s="108">
        <v>5098.47</v>
      </c>
      <c r="G51" s="108">
        <v>96</v>
      </c>
      <c r="H51" s="108">
        <v>1793.1</v>
      </c>
      <c r="I51" s="108">
        <v>2</v>
      </c>
      <c r="J51" s="108">
        <v>172.77</v>
      </c>
      <c r="K51" s="108">
        <v>0</v>
      </c>
      <c r="L51" s="108">
        <v>0</v>
      </c>
      <c r="M51" s="108">
        <v>0</v>
      </c>
      <c r="N51" s="108">
        <v>0</v>
      </c>
      <c r="O51" s="108">
        <f t="shared" si="0"/>
        <v>533</v>
      </c>
      <c r="P51" s="108">
        <f t="shared" si="3"/>
        <v>7064.34</v>
      </c>
      <c r="Q51" s="109">
        <f t="shared" si="2"/>
        <v>1973.2793296089385</v>
      </c>
    </row>
    <row r="52" spans="1:17" s="71" customFormat="1" x14ac:dyDescent="0.2">
      <c r="A52" s="65">
        <v>46</v>
      </c>
      <c r="B52" s="107" t="s">
        <v>228</v>
      </c>
      <c r="C52" s="108">
        <v>290</v>
      </c>
      <c r="D52" s="108">
        <v>1377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f t="shared" si="0"/>
        <v>0</v>
      </c>
      <c r="P52" s="108">
        <f t="shared" si="3"/>
        <v>0</v>
      </c>
      <c r="Q52" s="109">
        <f t="shared" si="2"/>
        <v>0</v>
      </c>
    </row>
    <row r="53" spans="1:17" s="71" customFormat="1" x14ac:dyDescent="0.2">
      <c r="A53" s="65">
        <v>47</v>
      </c>
      <c r="B53" s="107" t="s">
        <v>78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f t="shared" si="0"/>
        <v>0</v>
      </c>
      <c r="P53" s="108">
        <f t="shared" si="3"/>
        <v>0</v>
      </c>
      <c r="Q53" s="109">
        <v>0</v>
      </c>
    </row>
    <row r="54" spans="1:17" s="71" customFormat="1" x14ac:dyDescent="0.2">
      <c r="A54" s="65">
        <v>48</v>
      </c>
      <c r="B54" s="107" t="s">
        <v>229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8">
        <f t="shared" si="0"/>
        <v>0</v>
      </c>
      <c r="P54" s="108">
        <f t="shared" si="3"/>
        <v>0</v>
      </c>
      <c r="Q54" s="109">
        <v>0</v>
      </c>
    </row>
    <row r="55" spans="1:17" s="71" customFormat="1" x14ac:dyDescent="0.2">
      <c r="A55" s="65">
        <v>49</v>
      </c>
      <c r="B55" s="107" t="s">
        <v>77</v>
      </c>
      <c r="C55" s="108">
        <v>928</v>
      </c>
      <c r="D55" s="108">
        <v>3588</v>
      </c>
      <c r="E55" s="108">
        <v>1551</v>
      </c>
      <c r="F55" s="108">
        <v>2802</v>
      </c>
      <c r="G55" s="108">
        <v>67</v>
      </c>
      <c r="H55" s="108">
        <v>1747</v>
      </c>
      <c r="I55" s="108">
        <v>3</v>
      </c>
      <c r="J55" s="108">
        <v>255</v>
      </c>
      <c r="K55" s="108">
        <v>0</v>
      </c>
      <c r="L55" s="108">
        <v>0</v>
      </c>
      <c r="M55" s="108">
        <v>0</v>
      </c>
      <c r="N55" s="108">
        <v>0</v>
      </c>
      <c r="O55" s="108">
        <f t="shared" si="0"/>
        <v>1621</v>
      </c>
      <c r="P55" s="108">
        <f t="shared" si="3"/>
        <v>4804</v>
      </c>
      <c r="Q55" s="109">
        <f t="shared" si="2"/>
        <v>133.89074693422521</v>
      </c>
    </row>
    <row r="56" spans="1:17" s="71" customFormat="1" x14ac:dyDescent="0.2">
      <c r="A56" s="68"/>
      <c r="B56" s="114" t="s">
        <v>408</v>
      </c>
      <c r="C56" s="115">
        <f>SUM(C34:C55)</f>
        <v>48070</v>
      </c>
      <c r="D56" s="115">
        <f>SUM(D34:D55)</f>
        <v>228135</v>
      </c>
      <c r="E56" s="115">
        <f t="shared" ref="E56:N56" si="7">SUM(E34:E55)</f>
        <v>49591</v>
      </c>
      <c r="F56" s="115">
        <f t="shared" si="7"/>
        <v>163729.84</v>
      </c>
      <c r="G56" s="115">
        <f t="shared" si="7"/>
        <v>5074</v>
      </c>
      <c r="H56" s="115">
        <f t="shared" si="7"/>
        <v>94547.12000000001</v>
      </c>
      <c r="I56" s="115">
        <f t="shared" si="7"/>
        <v>250</v>
      </c>
      <c r="J56" s="115">
        <f t="shared" si="7"/>
        <v>15238.439999999999</v>
      </c>
      <c r="K56" s="115">
        <f t="shared" si="7"/>
        <v>0</v>
      </c>
      <c r="L56" s="115">
        <f t="shared" si="7"/>
        <v>0</v>
      </c>
      <c r="M56" s="115">
        <f t="shared" si="7"/>
        <v>4176</v>
      </c>
      <c r="N56" s="115">
        <f t="shared" si="7"/>
        <v>18911.59</v>
      </c>
      <c r="O56" s="115">
        <f t="shared" ref="O56" si="8">SUM(O34:O55)</f>
        <v>59091</v>
      </c>
      <c r="P56" s="115">
        <f t="shared" ref="P56" si="9">SUM(P34:P55)</f>
        <v>292426.99000000005</v>
      </c>
      <c r="Q56" s="106">
        <f t="shared" si="2"/>
        <v>128.18155478116029</v>
      </c>
    </row>
    <row r="57" spans="1:17" s="71" customFormat="1" x14ac:dyDescent="0.2">
      <c r="A57" s="65">
        <v>50</v>
      </c>
      <c r="B57" s="107" t="s">
        <v>47</v>
      </c>
      <c r="C57" s="108">
        <v>12689</v>
      </c>
      <c r="D57" s="108">
        <v>36924</v>
      </c>
      <c r="E57" s="108">
        <v>1089</v>
      </c>
      <c r="F57" s="108">
        <v>2084</v>
      </c>
      <c r="G57" s="108">
        <v>260</v>
      </c>
      <c r="H57" s="108">
        <v>483</v>
      </c>
      <c r="I57" s="108">
        <v>0</v>
      </c>
      <c r="J57" s="108">
        <v>0</v>
      </c>
      <c r="K57" s="108">
        <v>13</v>
      </c>
      <c r="L57" s="108">
        <v>38</v>
      </c>
      <c r="M57" s="108">
        <v>0</v>
      </c>
      <c r="N57" s="108">
        <v>0</v>
      </c>
      <c r="O57" s="108">
        <f t="shared" si="0"/>
        <v>1362</v>
      </c>
      <c r="P57" s="108">
        <f t="shared" si="3"/>
        <v>2605</v>
      </c>
      <c r="Q57" s="109">
        <f t="shared" si="2"/>
        <v>7.0550319575343954</v>
      </c>
    </row>
    <row r="58" spans="1:17" s="71" customFormat="1" x14ac:dyDescent="0.2">
      <c r="A58" s="65">
        <v>51</v>
      </c>
      <c r="B58" s="107" t="s">
        <v>230</v>
      </c>
      <c r="C58" s="108">
        <v>11420</v>
      </c>
      <c r="D58" s="108">
        <v>24495</v>
      </c>
      <c r="E58" s="108">
        <v>10216</v>
      </c>
      <c r="F58" s="108">
        <v>8754</v>
      </c>
      <c r="G58" s="108">
        <v>0</v>
      </c>
      <c r="H58" s="108">
        <v>0</v>
      </c>
      <c r="I58" s="108">
        <v>0</v>
      </c>
      <c r="J58" s="108">
        <v>0</v>
      </c>
      <c r="K58" s="108">
        <v>7</v>
      </c>
      <c r="L58" s="108">
        <v>31</v>
      </c>
      <c r="M58" s="108">
        <v>0</v>
      </c>
      <c r="N58" s="108">
        <v>0</v>
      </c>
      <c r="O58" s="108">
        <f t="shared" si="0"/>
        <v>10223</v>
      </c>
      <c r="P58" s="108">
        <f t="shared" si="3"/>
        <v>8785</v>
      </c>
      <c r="Q58" s="109">
        <f t="shared" si="2"/>
        <v>35.864462135129621</v>
      </c>
    </row>
    <row r="59" spans="1:17" s="71" customFormat="1" x14ac:dyDescent="0.2">
      <c r="A59" s="65">
        <v>52</v>
      </c>
      <c r="B59" s="107" t="s">
        <v>53</v>
      </c>
      <c r="C59" s="108">
        <v>9667</v>
      </c>
      <c r="D59" s="108">
        <v>20727</v>
      </c>
      <c r="E59" s="108">
        <v>4251</v>
      </c>
      <c r="F59" s="108">
        <v>5852</v>
      </c>
      <c r="G59" s="108">
        <v>56</v>
      </c>
      <c r="H59" s="108">
        <v>1652</v>
      </c>
      <c r="I59" s="108">
        <v>0</v>
      </c>
      <c r="J59" s="108">
        <v>0</v>
      </c>
      <c r="K59" s="108">
        <v>14</v>
      </c>
      <c r="L59" s="108">
        <v>31.51</v>
      </c>
      <c r="M59" s="108">
        <v>154</v>
      </c>
      <c r="N59" s="108">
        <v>232.41</v>
      </c>
      <c r="O59" s="108">
        <f t="shared" si="0"/>
        <v>4475</v>
      </c>
      <c r="P59" s="108">
        <f t="shared" si="3"/>
        <v>7767.92</v>
      </c>
      <c r="Q59" s="109">
        <f t="shared" si="2"/>
        <v>37.477300139914121</v>
      </c>
    </row>
    <row r="60" spans="1:17" s="117" customFormat="1" x14ac:dyDescent="0.2">
      <c r="A60" s="382"/>
      <c r="B60" s="68" t="s">
        <v>415</v>
      </c>
      <c r="C60" s="115">
        <f>SUM(C57:C59)</f>
        <v>33776</v>
      </c>
      <c r="D60" s="115">
        <f>SUM(D57:D59)</f>
        <v>82146</v>
      </c>
      <c r="E60" s="115">
        <f t="shared" ref="E60:N60" si="10">SUM(E57:E59)</f>
        <v>15556</v>
      </c>
      <c r="F60" s="115">
        <f t="shared" si="10"/>
        <v>16690</v>
      </c>
      <c r="G60" s="115">
        <f t="shared" si="10"/>
        <v>316</v>
      </c>
      <c r="H60" s="115">
        <f t="shared" si="10"/>
        <v>2135</v>
      </c>
      <c r="I60" s="115">
        <f t="shared" si="10"/>
        <v>0</v>
      </c>
      <c r="J60" s="115">
        <f t="shared" si="10"/>
        <v>0</v>
      </c>
      <c r="K60" s="115">
        <f t="shared" si="10"/>
        <v>34</v>
      </c>
      <c r="L60" s="115">
        <f t="shared" si="10"/>
        <v>100.51</v>
      </c>
      <c r="M60" s="115">
        <f t="shared" si="10"/>
        <v>154</v>
      </c>
      <c r="N60" s="115">
        <f t="shared" si="10"/>
        <v>232.41</v>
      </c>
      <c r="O60" s="115">
        <f t="shared" ref="O60" si="11">SUM(O57:O59)</f>
        <v>16060</v>
      </c>
      <c r="P60" s="115">
        <f t="shared" ref="P60" si="12">SUM(P57:P59)</f>
        <v>19157.919999999998</v>
      </c>
      <c r="Q60" s="106">
        <f t="shared" si="2"/>
        <v>23.321792905314926</v>
      </c>
    </row>
    <row r="61" spans="1:17" s="71" customFormat="1" x14ac:dyDescent="0.2">
      <c r="A61" s="65">
        <v>53</v>
      </c>
      <c r="B61" s="66" t="s">
        <v>409</v>
      </c>
      <c r="C61" s="108">
        <v>19657</v>
      </c>
      <c r="D61" s="108">
        <v>107223</v>
      </c>
      <c r="E61" s="108">
        <v>0</v>
      </c>
      <c r="F61" s="108">
        <v>146.59</v>
      </c>
      <c r="G61" s="108">
        <v>0</v>
      </c>
      <c r="H61" s="108">
        <v>1089.78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f t="shared" si="0"/>
        <v>0</v>
      </c>
      <c r="P61" s="108">
        <f t="shared" si="3"/>
        <v>1236.3699999999999</v>
      </c>
      <c r="Q61" s="109">
        <f t="shared" si="2"/>
        <v>1.1530828273784541</v>
      </c>
    </row>
    <row r="62" spans="1:17" s="117" customFormat="1" x14ac:dyDescent="0.2">
      <c r="A62" s="382"/>
      <c r="B62" s="68" t="s">
        <v>410</v>
      </c>
      <c r="C62" s="115">
        <f>C61</f>
        <v>19657</v>
      </c>
      <c r="D62" s="115">
        <f>D61</f>
        <v>107223</v>
      </c>
      <c r="E62" s="115">
        <f t="shared" ref="E62:N62" si="13">E61</f>
        <v>0</v>
      </c>
      <c r="F62" s="115">
        <f t="shared" si="13"/>
        <v>146.59</v>
      </c>
      <c r="G62" s="115">
        <f t="shared" si="13"/>
        <v>0</v>
      </c>
      <c r="H62" s="115">
        <f t="shared" si="13"/>
        <v>1089.78</v>
      </c>
      <c r="I62" s="115">
        <f t="shared" si="13"/>
        <v>0</v>
      </c>
      <c r="J62" s="115">
        <f t="shared" si="13"/>
        <v>0</v>
      </c>
      <c r="K62" s="115">
        <f t="shared" si="13"/>
        <v>0</v>
      </c>
      <c r="L62" s="115">
        <f t="shared" si="13"/>
        <v>0</v>
      </c>
      <c r="M62" s="115">
        <f t="shared" si="13"/>
        <v>0</v>
      </c>
      <c r="N62" s="115">
        <f t="shared" si="13"/>
        <v>0</v>
      </c>
      <c r="O62" s="115">
        <f t="shared" ref="O62" si="14">O61</f>
        <v>0</v>
      </c>
      <c r="P62" s="115">
        <f t="shared" ref="P62" si="15">P61</f>
        <v>1236.3699999999999</v>
      </c>
      <c r="Q62" s="106">
        <f t="shared" si="2"/>
        <v>1.1530828273784541</v>
      </c>
    </row>
    <row r="63" spans="1:17" s="117" customFormat="1" x14ac:dyDescent="0.2">
      <c r="A63" s="382"/>
      <c r="B63" s="68" t="s">
        <v>411</v>
      </c>
      <c r="C63" s="115">
        <f>C62+C60+C56+C33</f>
        <v>382924</v>
      </c>
      <c r="D63" s="115">
        <f>D62+D60+D56+D33</f>
        <v>1612329</v>
      </c>
      <c r="E63" s="115">
        <f t="shared" ref="E63:N63" si="16">E62+E60+E56+E33</f>
        <v>149174</v>
      </c>
      <c r="F63" s="115">
        <f t="shared" si="16"/>
        <v>478018.37</v>
      </c>
      <c r="G63" s="115">
        <f t="shared" si="16"/>
        <v>14941</v>
      </c>
      <c r="H63" s="115">
        <f t="shared" si="16"/>
        <v>396054.42000000004</v>
      </c>
      <c r="I63" s="115">
        <f t="shared" si="16"/>
        <v>2077</v>
      </c>
      <c r="J63" s="115">
        <f t="shared" si="16"/>
        <v>116451.31</v>
      </c>
      <c r="K63" s="115">
        <f t="shared" si="16"/>
        <v>518</v>
      </c>
      <c r="L63" s="115">
        <f t="shared" si="16"/>
        <v>4569.45</v>
      </c>
      <c r="M63" s="115">
        <f t="shared" si="16"/>
        <v>12836</v>
      </c>
      <c r="N63" s="115">
        <f t="shared" si="16"/>
        <v>45690.22</v>
      </c>
      <c r="O63" s="115">
        <f t="shared" ref="O63" si="17">O62+O60+O56+O33</f>
        <v>179546</v>
      </c>
      <c r="P63" s="115">
        <f t="shared" ref="P63" si="18">P62+P60+P56+P33</f>
        <v>1040783.77</v>
      </c>
      <c r="Q63" s="106">
        <f t="shared" si="2"/>
        <v>64.551575391871012</v>
      </c>
    </row>
    <row r="64" spans="1:17" s="71" customFormat="1" x14ac:dyDescent="0.2">
      <c r="A64" s="69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18"/>
    </row>
    <row r="65" spans="3:17" s="71" customFormat="1" x14ac:dyDescent="0.2">
      <c r="C65" s="120">
        <v>336714</v>
      </c>
      <c r="D65" s="120">
        <v>1776903.8389139499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18"/>
    </row>
    <row r="66" spans="3:17" s="71" customFormat="1" x14ac:dyDescent="0.2"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18"/>
    </row>
    <row r="67" spans="3:17" s="71" customFormat="1" x14ac:dyDescent="0.2">
      <c r="C67" s="120">
        <f>C63-C65</f>
        <v>46210</v>
      </c>
      <c r="D67" s="120">
        <f>D63-D65</f>
        <v>-164574.8389139499</v>
      </c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18"/>
    </row>
    <row r="68" spans="3:17" s="71" customFormat="1" x14ac:dyDescent="0.2"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18"/>
    </row>
    <row r="69" spans="3:17" s="71" customFormat="1" x14ac:dyDescent="0.2"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18"/>
    </row>
    <row r="70" spans="3:17" s="71" customFormat="1" x14ac:dyDescent="0.2"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18"/>
    </row>
    <row r="71" spans="3:17" s="71" customFormat="1" x14ac:dyDescent="0.2"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18"/>
    </row>
    <row r="72" spans="3:17" s="71" customFormat="1" x14ac:dyDescent="0.2"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18"/>
    </row>
    <row r="73" spans="3:17" s="71" customFormat="1" x14ac:dyDescent="0.2"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18"/>
    </row>
    <row r="74" spans="3:17" s="71" customFormat="1" x14ac:dyDescent="0.2"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18"/>
    </row>
  </sheetData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B6">
    <cfRule type="duplicateValues" dxfId="124" priority="2"/>
  </conditionalFormatting>
  <conditionalFormatting sqref="B22">
    <cfRule type="duplicateValues" dxfId="123" priority="3"/>
  </conditionalFormatting>
  <conditionalFormatting sqref="B33:B34 B26:B30">
    <cfRule type="duplicateValues" dxfId="122" priority="4"/>
  </conditionalFormatting>
  <conditionalFormatting sqref="B52">
    <cfRule type="duplicateValues" dxfId="121" priority="5"/>
  </conditionalFormatting>
  <conditionalFormatting sqref="B56">
    <cfRule type="duplicateValues" dxfId="120" priority="6"/>
  </conditionalFormatting>
  <conditionalFormatting sqref="B58">
    <cfRule type="duplicateValues" dxfId="119" priority="7"/>
  </conditionalFormatting>
  <conditionalFormatting sqref="Q1:Q1048576">
    <cfRule type="cellIs" dxfId="118" priority="1" stopIfTrue="1" operator="greaterThan">
      <formula>100</formula>
    </cfRule>
  </conditionalFormatting>
  <pageMargins left="0.5" right="0.2" top="0.25" bottom="0.25" header="0.05" footer="0.05"/>
  <pageSetup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7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7" sqref="A7"/>
      <selection pane="bottomRight" activeCell="E6" sqref="E6:E63"/>
    </sheetView>
  </sheetViews>
  <sheetFormatPr defaultColWidth="4.42578125" defaultRowHeight="13.5" x14ac:dyDescent="0.2"/>
  <cols>
    <col min="1" max="1" width="4.42578125" style="157"/>
    <col min="2" max="2" width="21.85546875" style="157" bestFit="1" customWidth="1"/>
    <col min="3" max="3" width="8" style="162" bestFit="1" customWidth="1"/>
    <col min="4" max="4" width="10.140625" style="162" bestFit="1" customWidth="1"/>
    <col min="5" max="5" width="8" style="162" bestFit="1" customWidth="1"/>
    <col min="6" max="6" width="8.140625" style="162" bestFit="1" customWidth="1"/>
    <col min="7" max="7" width="8.140625" style="164" customWidth="1"/>
    <col min="8" max="9" width="10.140625" style="162" bestFit="1" customWidth="1"/>
    <col min="10" max="10" width="8" style="162" bestFit="1" customWidth="1"/>
    <col min="11" max="11" width="8.140625" style="162" bestFit="1" customWidth="1"/>
    <col min="12" max="12" width="8.140625" style="164" customWidth="1"/>
    <col min="13" max="13" width="10.140625" style="162" bestFit="1" customWidth="1"/>
    <col min="14" max="14" width="10.42578125" style="162" bestFit="1" customWidth="1"/>
    <col min="15" max="16" width="10.140625" style="162" bestFit="1" customWidth="1"/>
    <col min="17" max="17" width="8.42578125" style="164" customWidth="1"/>
    <col min="18" max="18" width="6" style="157" bestFit="1" customWidth="1"/>
    <col min="19" max="16384" width="4.42578125" style="157"/>
  </cols>
  <sheetData>
    <row r="1" spans="1:17" ht="18.75" x14ac:dyDescent="0.2">
      <c r="A1" s="444" t="s">
        <v>482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17" x14ac:dyDescent="0.2">
      <c r="B2" s="159" t="s">
        <v>135</v>
      </c>
      <c r="C2" s="161"/>
      <c r="D2" s="161"/>
      <c r="N2" s="455" t="s">
        <v>274</v>
      </c>
      <c r="O2" s="455"/>
      <c r="P2" s="455"/>
    </row>
    <row r="3" spans="1:17" ht="35.1" customHeight="1" x14ac:dyDescent="0.2">
      <c r="A3" s="449" t="s">
        <v>121</v>
      </c>
      <c r="B3" s="449" t="s">
        <v>101</v>
      </c>
      <c r="C3" s="445" t="s">
        <v>34</v>
      </c>
      <c r="D3" s="445"/>
      <c r="E3" s="445"/>
      <c r="F3" s="445"/>
      <c r="G3" s="454" t="s">
        <v>159</v>
      </c>
      <c r="H3" s="445" t="s">
        <v>20</v>
      </c>
      <c r="I3" s="445"/>
      <c r="J3" s="445"/>
      <c r="K3" s="445"/>
      <c r="L3" s="454" t="s">
        <v>159</v>
      </c>
      <c r="M3" s="445" t="s">
        <v>19</v>
      </c>
      <c r="N3" s="445"/>
      <c r="O3" s="445"/>
      <c r="P3" s="445"/>
      <c r="Q3" s="454" t="s">
        <v>159</v>
      </c>
    </row>
    <row r="4" spans="1:17" ht="35.1" customHeight="1" x14ac:dyDescent="0.2">
      <c r="A4" s="449"/>
      <c r="B4" s="449"/>
      <c r="C4" s="445" t="s">
        <v>21</v>
      </c>
      <c r="D4" s="445"/>
      <c r="E4" s="445" t="s">
        <v>161</v>
      </c>
      <c r="F4" s="445"/>
      <c r="G4" s="454"/>
      <c r="H4" s="445" t="s">
        <v>21</v>
      </c>
      <c r="I4" s="445"/>
      <c r="J4" s="445" t="s">
        <v>161</v>
      </c>
      <c r="K4" s="445"/>
      <c r="L4" s="454"/>
      <c r="M4" s="445" t="s">
        <v>21</v>
      </c>
      <c r="N4" s="445"/>
      <c r="O4" s="445" t="s">
        <v>161</v>
      </c>
      <c r="P4" s="445"/>
      <c r="Q4" s="454"/>
    </row>
    <row r="5" spans="1:17" ht="35.1" customHeight="1" x14ac:dyDescent="0.2">
      <c r="A5" s="449"/>
      <c r="B5" s="449"/>
      <c r="C5" s="165" t="s">
        <v>125</v>
      </c>
      <c r="D5" s="165" t="s">
        <v>100</v>
      </c>
      <c r="E5" s="165" t="s">
        <v>125</v>
      </c>
      <c r="F5" s="165" t="s">
        <v>100</v>
      </c>
      <c r="G5" s="454"/>
      <c r="H5" s="165" t="s">
        <v>125</v>
      </c>
      <c r="I5" s="165" t="s">
        <v>100</v>
      </c>
      <c r="J5" s="165" t="s">
        <v>125</v>
      </c>
      <c r="K5" s="165" t="s">
        <v>100</v>
      </c>
      <c r="L5" s="454"/>
      <c r="M5" s="165" t="s">
        <v>125</v>
      </c>
      <c r="N5" s="165" t="s">
        <v>100</v>
      </c>
      <c r="O5" s="165" t="s">
        <v>125</v>
      </c>
      <c r="P5" s="165" t="s">
        <v>100</v>
      </c>
      <c r="Q5" s="454"/>
    </row>
    <row r="6" spans="1:17" x14ac:dyDescent="0.2">
      <c r="A6" s="144">
        <v>1</v>
      </c>
      <c r="B6" s="167" t="s">
        <v>56</v>
      </c>
      <c r="C6" s="168">
        <v>48</v>
      </c>
      <c r="D6" s="168">
        <v>1025</v>
      </c>
      <c r="E6" s="168">
        <v>0</v>
      </c>
      <c r="F6" s="168">
        <v>0</v>
      </c>
      <c r="G6" s="158">
        <f>F6*100/D6</f>
        <v>0</v>
      </c>
      <c r="H6" s="168">
        <v>1532</v>
      </c>
      <c r="I6" s="168">
        <v>6037</v>
      </c>
      <c r="J6" s="168">
        <v>425</v>
      </c>
      <c r="K6" s="168">
        <v>473</v>
      </c>
      <c r="L6" s="158">
        <f>K6*100/I6</f>
        <v>7.8350173927447404</v>
      </c>
      <c r="M6" s="168">
        <v>6615</v>
      </c>
      <c r="N6" s="168">
        <v>22613</v>
      </c>
      <c r="O6" s="168">
        <v>6264</v>
      </c>
      <c r="P6" s="168">
        <v>21580.32</v>
      </c>
      <c r="Q6" s="158">
        <f>P6*100/N6</f>
        <v>95.433246362711714</v>
      </c>
    </row>
    <row r="7" spans="1:17" x14ac:dyDescent="0.2">
      <c r="A7" s="144">
        <v>2</v>
      </c>
      <c r="B7" s="167" t="s">
        <v>57</v>
      </c>
      <c r="C7" s="168">
        <v>0</v>
      </c>
      <c r="D7" s="168">
        <v>0</v>
      </c>
      <c r="E7" s="168">
        <v>0</v>
      </c>
      <c r="F7" s="168">
        <v>0</v>
      </c>
      <c r="G7" s="158">
        <v>0</v>
      </c>
      <c r="H7" s="168">
        <v>208</v>
      </c>
      <c r="I7" s="168">
        <v>713</v>
      </c>
      <c r="J7" s="168">
        <v>23</v>
      </c>
      <c r="K7" s="168">
        <v>30.98</v>
      </c>
      <c r="L7" s="158">
        <f t="shared" ref="L7:L63" si="0">K7*100/I7</f>
        <v>4.3450210378681628</v>
      </c>
      <c r="M7" s="168">
        <v>656</v>
      </c>
      <c r="N7" s="168">
        <v>2869</v>
      </c>
      <c r="O7" s="168">
        <v>285</v>
      </c>
      <c r="P7" s="168">
        <v>1124.1300000000001</v>
      </c>
      <c r="Q7" s="158">
        <f t="shared" ref="Q7:Q63" si="1">P7*100/N7</f>
        <v>39.181944928546535</v>
      </c>
    </row>
    <row r="8" spans="1:17" x14ac:dyDescent="0.2">
      <c r="A8" s="144">
        <v>3</v>
      </c>
      <c r="B8" s="167" t="s">
        <v>58</v>
      </c>
      <c r="C8" s="168">
        <v>96</v>
      </c>
      <c r="D8" s="168">
        <v>5069</v>
      </c>
      <c r="E8" s="168">
        <v>0</v>
      </c>
      <c r="F8" s="168">
        <v>0</v>
      </c>
      <c r="G8" s="158">
        <f t="shared" ref="G8:G63" si="2">F8*100/D8</f>
        <v>0</v>
      </c>
      <c r="H8" s="168">
        <v>1222</v>
      </c>
      <c r="I8" s="168">
        <v>4360</v>
      </c>
      <c r="J8" s="168">
        <v>321</v>
      </c>
      <c r="K8" s="380">
        <v>802</v>
      </c>
      <c r="L8" s="158">
        <f t="shared" si="0"/>
        <v>18.394495412844037</v>
      </c>
      <c r="M8" s="168">
        <v>5556</v>
      </c>
      <c r="N8" s="168">
        <v>19368</v>
      </c>
      <c r="O8" s="168">
        <v>2789</v>
      </c>
      <c r="P8" s="168">
        <v>5374.19</v>
      </c>
      <c r="Q8" s="158">
        <f t="shared" si="1"/>
        <v>27.747779843040068</v>
      </c>
    </row>
    <row r="9" spans="1:17" x14ac:dyDescent="0.2">
      <c r="A9" s="144">
        <v>4</v>
      </c>
      <c r="B9" s="167" t="s">
        <v>59</v>
      </c>
      <c r="C9" s="168">
        <v>174</v>
      </c>
      <c r="D9" s="168">
        <v>6133</v>
      </c>
      <c r="E9" s="168">
        <v>0</v>
      </c>
      <c r="F9" s="168">
        <v>0</v>
      </c>
      <c r="G9" s="158">
        <f t="shared" si="2"/>
        <v>0</v>
      </c>
      <c r="H9" s="168">
        <v>1940</v>
      </c>
      <c r="I9" s="168">
        <v>7375</v>
      </c>
      <c r="J9" s="168">
        <v>1660</v>
      </c>
      <c r="K9" s="168">
        <v>1306</v>
      </c>
      <c r="L9" s="158">
        <f t="shared" si="0"/>
        <v>17.708474576271186</v>
      </c>
      <c r="M9" s="168">
        <v>8333</v>
      </c>
      <c r="N9" s="168">
        <v>29816</v>
      </c>
      <c r="O9" s="168">
        <v>8146</v>
      </c>
      <c r="P9" s="168">
        <v>2989</v>
      </c>
      <c r="Q9" s="158">
        <f t="shared" si="1"/>
        <v>10.024818889187014</v>
      </c>
    </row>
    <row r="10" spans="1:17" x14ac:dyDescent="0.2">
      <c r="A10" s="144">
        <v>5</v>
      </c>
      <c r="B10" s="167" t="s">
        <v>60</v>
      </c>
      <c r="C10" s="168">
        <v>0</v>
      </c>
      <c r="D10" s="168">
        <v>0</v>
      </c>
      <c r="E10" s="168">
        <v>0</v>
      </c>
      <c r="F10" s="168">
        <v>0</v>
      </c>
      <c r="G10" s="158">
        <v>0</v>
      </c>
      <c r="H10" s="168">
        <v>782</v>
      </c>
      <c r="I10" s="168">
        <v>2655</v>
      </c>
      <c r="J10" s="168">
        <v>170</v>
      </c>
      <c r="K10" s="168">
        <v>195</v>
      </c>
      <c r="L10" s="158">
        <f t="shared" si="0"/>
        <v>7.3446327683615822</v>
      </c>
      <c r="M10" s="168">
        <v>4004</v>
      </c>
      <c r="N10" s="168">
        <v>10421</v>
      </c>
      <c r="O10" s="168">
        <v>2285</v>
      </c>
      <c r="P10" s="168">
        <v>3845</v>
      </c>
      <c r="Q10" s="158">
        <f t="shared" si="1"/>
        <v>36.896650993186832</v>
      </c>
    </row>
    <row r="11" spans="1:17" x14ac:dyDescent="0.2">
      <c r="A11" s="144">
        <v>6</v>
      </c>
      <c r="B11" s="169" t="s">
        <v>244</v>
      </c>
      <c r="C11" s="168">
        <v>0</v>
      </c>
      <c r="D11" s="168">
        <v>0</v>
      </c>
      <c r="E11" s="168">
        <v>0</v>
      </c>
      <c r="F11" s="168">
        <v>0</v>
      </c>
      <c r="G11" s="158">
        <v>0</v>
      </c>
      <c r="H11" s="168">
        <v>14</v>
      </c>
      <c r="I11" s="168">
        <v>26</v>
      </c>
      <c r="J11" s="380">
        <v>11</v>
      </c>
      <c r="K11" s="168">
        <v>30</v>
      </c>
      <c r="L11" s="158">
        <f t="shared" si="0"/>
        <v>115.38461538461539</v>
      </c>
      <c r="M11" s="168">
        <v>145</v>
      </c>
      <c r="N11" s="168">
        <v>262</v>
      </c>
      <c r="O11" s="168">
        <v>3</v>
      </c>
      <c r="P11" s="168">
        <v>41</v>
      </c>
      <c r="Q11" s="158">
        <f t="shared" si="1"/>
        <v>15.648854961832061</v>
      </c>
    </row>
    <row r="12" spans="1:17" x14ac:dyDescent="0.2">
      <c r="A12" s="144">
        <v>7</v>
      </c>
      <c r="B12" s="167" t="s">
        <v>61</v>
      </c>
      <c r="C12" s="168">
        <v>24</v>
      </c>
      <c r="D12" s="168">
        <v>1654</v>
      </c>
      <c r="E12" s="168">
        <v>0</v>
      </c>
      <c r="F12" s="168">
        <v>0</v>
      </c>
      <c r="G12" s="158">
        <f t="shared" si="2"/>
        <v>0</v>
      </c>
      <c r="H12" s="168">
        <v>674</v>
      </c>
      <c r="I12" s="168">
        <v>2614</v>
      </c>
      <c r="J12" s="168">
        <v>302</v>
      </c>
      <c r="K12" s="168">
        <v>468</v>
      </c>
      <c r="L12" s="158">
        <f t="shared" si="0"/>
        <v>17.903596021423105</v>
      </c>
      <c r="M12" s="168">
        <v>2730</v>
      </c>
      <c r="N12" s="168">
        <v>11616</v>
      </c>
      <c r="O12" s="168">
        <v>1108</v>
      </c>
      <c r="P12" s="168">
        <v>2908</v>
      </c>
      <c r="Q12" s="158">
        <f t="shared" si="1"/>
        <v>25.034435261707991</v>
      </c>
    </row>
    <row r="13" spans="1:17" x14ac:dyDescent="0.2">
      <c r="A13" s="144">
        <v>8</v>
      </c>
      <c r="B13" s="167" t="s">
        <v>62</v>
      </c>
      <c r="C13" s="168">
        <v>145</v>
      </c>
      <c r="D13" s="168">
        <v>3256</v>
      </c>
      <c r="E13" s="168">
        <v>0</v>
      </c>
      <c r="F13" s="168">
        <v>0</v>
      </c>
      <c r="G13" s="158">
        <f t="shared" si="2"/>
        <v>0</v>
      </c>
      <c r="H13" s="168">
        <v>2716</v>
      </c>
      <c r="I13" s="168">
        <v>9983</v>
      </c>
      <c r="J13" s="168">
        <v>548</v>
      </c>
      <c r="K13" s="168">
        <v>2578</v>
      </c>
      <c r="L13" s="158">
        <f t="shared" si="0"/>
        <v>25.823900631072824</v>
      </c>
      <c r="M13" s="168">
        <v>10374</v>
      </c>
      <c r="N13" s="168">
        <v>35193</v>
      </c>
      <c r="O13" s="168">
        <v>4195</v>
      </c>
      <c r="P13" s="168">
        <v>8774</v>
      </c>
      <c r="Q13" s="158">
        <f t="shared" si="1"/>
        <v>24.931094251697782</v>
      </c>
    </row>
    <row r="14" spans="1:17" x14ac:dyDescent="0.2">
      <c r="A14" s="144">
        <v>9</v>
      </c>
      <c r="B14" s="167" t="s">
        <v>49</v>
      </c>
      <c r="C14" s="168">
        <v>18</v>
      </c>
      <c r="D14" s="168">
        <v>537</v>
      </c>
      <c r="E14" s="168">
        <v>0</v>
      </c>
      <c r="F14" s="168">
        <v>0</v>
      </c>
      <c r="G14" s="158">
        <f t="shared" si="2"/>
        <v>0</v>
      </c>
      <c r="H14" s="168">
        <v>370</v>
      </c>
      <c r="I14" s="168">
        <v>1220</v>
      </c>
      <c r="J14" s="380">
        <v>395</v>
      </c>
      <c r="K14" s="380">
        <v>1060</v>
      </c>
      <c r="L14" s="158">
        <f t="shared" si="0"/>
        <v>86.885245901639351</v>
      </c>
      <c r="M14" s="168">
        <v>1288</v>
      </c>
      <c r="N14" s="168">
        <v>4842</v>
      </c>
      <c r="O14" s="168">
        <v>9562</v>
      </c>
      <c r="P14" s="168">
        <v>9850</v>
      </c>
      <c r="Q14" s="158">
        <f t="shared" si="1"/>
        <v>203.42833539859564</v>
      </c>
    </row>
    <row r="15" spans="1:17" x14ac:dyDescent="0.2">
      <c r="A15" s="144">
        <v>10</v>
      </c>
      <c r="B15" s="167" t="s">
        <v>50</v>
      </c>
      <c r="C15" s="168">
        <v>0</v>
      </c>
      <c r="D15" s="168">
        <v>0</v>
      </c>
      <c r="E15" s="380">
        <v>7</v>
      </c>
      <c r="F15" s="380">
        <v>622</v>
      </c>
      <c r="G15" s="158">
        <v>0</v>
      </c>
      <c r="H15" s="168">
        <v>408</v>
      </c>
      <c r="I15" s="168">
        <v>1471</v>
      </c>
      <c r="J15" s="168">
        <v>49</v>
      </c>
      <c r="K15" s="168">
        <v>81</v>
      </c>
      <c r="L15" s="158">
        <f t="shared" si="0"/>
        <v>5.5064581917063222</v>
      </c>
      <c r="M15" s="168">
        <v>1464</v>
      </c>
      <c r="N15" s="168">
        <v>5668</v>
      </c>
      <c r="O15" s="168">
        <v>160</v>
      </c>
      <c r="P15" s="168">
        <v>1172</v>
      </c>
      <c r="Q15" s="158">
        <f t="shared" si="1"/>
        <v>20.677487649964714</v>
      </c>
    </row>
    <row r="16" spans="1:17" x14ac:dyDescent="0.2">
      <c r="A16" s="144">
        <v>11</v>
      </c>
      <c r="B16" s="167" t="s">
        <v>82</v>
      </c>
      <c r="C16" s="168">
        <v>0</v>
      </c>
      <c r="D16" s="168">
        <v>0</v>
      </c>
      <c r="E16" s="168">
        <v>0</v>
      </c>
      <c r="F16" s="168">
        <v>0</v>
      </c>
      <c r="G16" s="158">
        <v>0</v>
      </c>
      <c r="H16" s="168">
        <v>280</v>
      </c>
      <c r="I16" s="168">
        <v>911</v>
      </c>
      <c r="J16" s="168">
        <v>275</v>
      </c>
      <c r="K16" s="168">
        <v>396</v>
      </c>
      <c r="L16" s="158">
        <f t="shared" si="0"/>
        <v>43.468715697036224</v>
      </c>
      <c r="M16" s="168">
        <v>924</v>
      </c>
      <c r="N16" s="168">
        <v>3652</v>
      </c>
      <c r="O16" s="168">
        <v>703</v>
      </c>
      <c r="P16" s="168">
        <v>3664</v>
      </c>
      <c r="Q16" s="158">
        <f t="shared" si="1"/>
        <v>100.32858707557503</v>
      </c>
    </row>
    <row r="17" spans="1:19" x14ac:dyDescent="0.2">
      <c r="A17" s="144">
        <v>12</v>
      </c>
      <c r="B17" s="167" t="s">
        <v>63</v>
      </c>
      <c r="C17" s="168">
        <v>0</v>
      </c>
      <c r="D17" s="168">
        <v>0</v>
      </c>
      <c r="E17" s="168">
        <v>0</v>
      </c>
      <c r="F17" s="168">
        <v>0</v>
      </c>
      <c r="G17" s="158">
        <v>0</v>
      </c>
      <c r="H17" s="168">
        <v>222</v>
      </c>
      <c r="I17" s="168">
        <v>841</v>
      </c>
      <c r="J17" s="168">
        <v>123</v>
      </c>
      <c r="K17" s="168">
        <v>384.98</v>
      </c>
      <c r="L17" s="158">
        <f t="shared" si="0"/>
        <v>45.776456599286561</v>
      </c>
      <c r="M17" s="168">
        <v>588</v>
      </c>
      <c r="N17" s="168">
        <v>2589</v>
      </c>
      <c r="O17" s="168">
        <v>486</v>
      </c>
      <c r="P17" s="168">
        <v>2948.9</v>
      </c>
      <c r="Q17" s="158">
        <f t="shared" si="1"/>
        <v>113.90112012359984</v>
      </c>
    </row>
    <row r="18" spans="1:19" x14ac:dyDescent="0.2">
      <c r="A18" s="144">
        <v>13</v>
      </c>
      <c r="B18" s="167" t="s">
        <v>64</v>
      </c>
      <c r="C18" s="168">
        <v>0</v>
      </c>
      <c r="D18" s="168">
        <v>0</v>
      </c>
      <c r="E18" s="168">
        <v>0</v>
      </c>
      <c r="F18" s="168">
        <v>0</v>
      </c>
      <c r="G18" s="158">
        <v>0</v>
      </c>
      <c r="H18" s="168">
        <v>246</v>
      </c>
      <c r="I18" s="168">
        <v>864</v>
      </c>
      <c r="J18" s="168">
        <v>18</v>
      </c>
      <c r="K18" s="168">
        <v>19</v>
      </c>
      <c r="L18" s="158">
        <f t="shared" si="0"/>
        <v>2.199074074074074</v>
      </c>
      <c r="M18" s="168">
        <v>976</v>
      </c>
      <c r="N18" s="168">
        <v>3919</v>
      </c>
      <c r="O18" s="168">
        <v>266</v>
      </c>
      <c r="P18" s="168">
        <v>555</v>
      </c>
      <c r="Q18" s="158">
        <f t="shared" si="1"/>
        <v>14.161775963255932</v>
      </c>
    </row>
    <row r="19" spans="1:19" x14ac:dyDescent="0.2">
      <c r="A19" s="144">
        <v>14</v>
      </c>
      <c r="B19" s="111" t="s">
        <v>208</v>
      </c>
      <c r="C19" s="168">
        <v>24</v>
      </c>
      <c r="D19" s="168">
        <v>112</v>
      </c>
      <c r="E19" s="168">
        <v>1</v>
      </c>
      <c r="F19" s="168">
        <v>397.94</v>
      </c>
      <c r="G19" s="158">
        <f t="shared" si="2"/>
        <v>355.30357142857144</v>
      </c>
      <c r="H19" s="168">
        <v>1044</v>
      </c>
      <c r="I19" s="168">
        <v>3834</v>
      </c>
      <c r="J19" s="168">
        <v>96</v>
      </c>
      <c r="K19" s="168">
        <v>284.75</v>
      </c>
      <c r="L19" s="158">
        <f t="shared" si="0"/>
        <v>7.4269692227438711</v>
      </c>
      <c r="M19" s="168">
        <v>3579</v>
      </c>
      <c r="N19" s="168">
        <v>14738</v>
      </c>
      <c r="O19" s="168">
        <v>449</v>
      </c>
      <c r="P19" s="168">
        <v>1533.76</v>
      </c>
      <c r="Q19" s="158">
        <f t="shared" si="1"/>
        <v>10.406839462613652</v>
      </c>
    </row>
    <row r="20" spans="1:19" x14ac:dyDescent="0.2">
      <c r="A20" s="144">
        <v>15</v>
      </c>
      <c r="B20" s="167" t="s">
        <v>209</v>
      </c>
      <c r="C20" s="168">
        <v>0</v>
      </c>
      <c r="D20" s="168">
        <v>0</v>
      </c>
      <c r="E20" s="168">
        <v>0</v>
      </c>
      <c r="F20" s="168">
        <v>0</v>
      </c>
      <c r="G20" s="158">
        <v>0</v>
      </c>
      <c r="H20" s="168">
        <v>416</v>
      </c>
      <c r="I20" s="168">
        <v>1502</v>
      </c>
      <c r="J20" s="168">
        <v>14</v>
      </c>
      <c r="K20" s="168">
        <v>51</v>
      </c>
      <c r="L20" s="158">
        <f t="shared" si="0"/>
        <v>3.3954727030625831</v>
      </c>
      <c r="M20" s="168">
        <v>1180</v>
      </c>
      <c r="N20" s="168">
        <v>4913</v>
      </c>
      <c r="O20" s="168">
        <v>88</v>
      </c>
      <c r="P20" s="168">
        <v>772.34</v>
      </c>
      <c r="Q20" s="158">
        <f t="shared" si="1"/>
        <v>15.72033380826379</v>
      </c>
    </row>
    <row r="21" spans="1:19" x14ac:dyDescent="0.2">
      <c r="A21" s="144">
        <v>16</v>
      </c>
      <c r="B21" s="167" t="s">
        <v>65</v>
      </c>
      <c r="C21" s="168">
        <v>111</v>
      </c>
      <c r="D21" s="168">
        <v>3089</v>
      </c>
      <c r="E21" s="168">
        <v>0</v>
      </c>
      <c r="F21" s="168">
        <v>0</v>
      </c>
      <c r="G21" s="158">
        <f t="shared" si="2"/>
        <v>0</v>
      </c>
      <c r="H21" s="168">
        <v>3332</v>
      </c>
      <c r="I21" s="168">
        <v>12393</v>
      </c>
      <c r="J21" s="168">
        <v>1500</v>
      </c>
      <c r="K21" s="168">
        <v>1933</v>
      </c>
      <c r="L21" s="158">
        <f t="shared" si="0"/>
        <v>15.597514726055032</v>
      </c>
      <c r="M21" s="168">
        <v>12873</v>
      </c>
      <c r="N21" s="168">
        <v>53805</v>
      </c>
      <c r="O21" s="168">
        <v>9416</v>
      </c>
      <c r="P21" s="168">
        <v>9455</v>
      </c>
      <c r="Q21" s="158">
        <f t="shared" si="1"/>
        <v>17.572716290307593</v>
      </c>
    </row>
    <row r="22" spans="1:19" x14ac:dyDescent="0.2">
      <c r="A22" s="144">
        <v>17</v>
      </c>
      <c r="B22" s="112" t="s">
        <v>70</v>
      </c>
      <c r="C22" s="168">
        <v>0</v>
      </c>
      <c r="D22" s="168">
        <v>0</v>
      </c>
      <c r="E22" s="168">
        <v>0</v>
      </c>
      <c r="F22" s="168">
        <v>0</v>
      </c>
      <c r="G22" s="158">
        <v>0</v>
      </c>
      <c r="H22" s="168">
        <v>92</v>
      </c>
      <c r="I22" s="168">
        <v>286</v>
      </c>
      <c r="J22" s="168">
        <v>5</v>
      </c>
      <c r="K22" s="168">
        <v>25.37</v>
      </c>
      <c r="L22" s="158">
        <f t="shared" si="0"/>
        <v>8.87062937062937</v>
      </c>
      <c r="M22" s="168">
        <v>326</v>
      </c>
      <c r="N22" s="168">
        <v>1487</v>
      </c>
      <c r="O22" s="168">
        <v>24</v>
      </c>
      <c r="P22" s="168">
        <v>480.35</v>
      </c>
      <c r="Q22" s="158">
        <f t="shared" si="1"/>
        <v>32.303295225285808</v>
      </c>
    </row>
    <row r="23" spans="1:19" x14ac:dyDescent="0.2">
      <c r="A23" s="144">
        <v>18</v>
      </c>
      <c r="B23" s="107" t="s">
        <v>210</v>
      </c>
      <c r="C23" s="168">
        <v>0</v>
      </c>
      <c r="D23" s="168">
        <v>0</v>
      </c>
      <c r="E23" s="168">
        <v>0</v>
      </c>
      <c r="F23" s="168">
        <v>0</v>
      </c>
      <c r="G23" s="158">
        <v>0</v>
      </c>
      <c r="H23" s="168">
        <v>47</v>
      </c>
      <c r="I23" s="168">
        <v>160</v>
      </c>
      <c r="J23" s="168">
        <v>0</v>
      </c>
      <c r="K23" s="168">
        <v>0</v>
      </c>
      <c r="L23" s="158">
        <f t="shared" si="0"/>
        <v>0</v>
      </c>
      <c r="M23" s="168">
        <v>176</v>
      </c>
      <c r="N23" s="168">
        <v>817</v>
      </c>
      <c r="O23" s="168">
        <v>0</v>
      </c>
      <c r="P23" s="168">
        <v>0</v>
      </c>
      <c r="Q23" s="158">
        <f t="shared" si="1"/>
        <v>0</v>
      </c>
    </row>
    <row r="24" spans="1:19" x14ac:dyDescent="0.2">
      <c r="A24" s="144">
        <v>19</v>
      </c>
      <c r="B24" s="113" t="s">
        <v>211</v>
      </c>
      <c r="C24" s="168">
        <v>0</v>
      </c>
      <c r="D24" s="168">
        <v>0</v>
      </c>
      <c r="E24" s="168">
        <v>0</v>
      </c>
      <c r="F24" s="168">
        <v>0</v>
      </c>
      <c r="G24" s="158">
        <v>0</v>
      </c>
      <c r="H24" s="168">
        <v>80</v>
      </c>
      <c r="I24" s="168">
        <v>275</v>
      </c>
      <c r="J24" s="168">
        <v>4</v>
      </c>
      <c r="K24" s="168">
        <v>16</v>
      </c>
      <c r="L24" s="158">
        <f t="shared" si="0"/>
        <v>5.8181818181818183</v>
      </c>
      <c r="M24" s="168">
        <v>438</v>
      </c>
      <c r="N24" s="168">
        <v>1921</v>
      </c>
      <c r="O24" s="168">
        <v>44</v>
      </c>
      <c r="P24" s="168">
        <v>344.65</v>
      </c>
      <c r="Q24" s="158">
        <f t="shared" si="1"/>
        <v>17.941176470588236</v>
      </c>
    </row>
    <row r="25" spans="1:19" x14ac:dyDescent="0.2">
      <c r="A25" s="144">
        <v>20</v>
      </c>
      <c r="B25" s="167" t="s">
        <v>212</v>
      </c>
      <c r="C25" s="168">
        <v>0</v>
      </c>
      <c r="D25" s="168">
        <v>0</v>
      </c>
      <c r="E25" s="168">
        <v>0</v>
      </c>
      <c r="F25" s="168">
        <v>0</v>
      </c>
      <c r="G25" s="158">
        <v>0</v>
      </c>
      <c r="H25" s="168">
        <v>74</v>
      </c>
      <c r="I25" s="168">
        <v>273</v>
      </c>
      <c r="J25" s="168">
        <v>5</v>
      </c>
      <c r="K25" s="168">
        <v>30</v>
      </c>
      <c r="L25" s="158">
        <f t="shared" si="0"/>
        <v>10.989010989010989</v>
      </c>
      <c r="M25" s="168">
        <v>266</v>
      </c>
      <c r="N25" s="168">
        <v>1213</v>
      </c>
      <c r="O25" s="168">
        <v>42</v>
      </c>
      <c r="P25" s="168">
        <v>612</v>
      </c>
      <c r="Q25" s="158">
        <f t="shared" si="1"/>
        <v>50.453421269579557</v>
      </c>
    </row>
    <row r="26" spans="1:19" x14ac:dyDescent="0.2">
      <c r="A26" s="144">
        <v>21</v>
      </c>
      <c r="B26" s="167" t="s">
        <v>213</v>
      </c>
      <c r="C26" s="168">
        <v>0</v>
      </c>
      <c r="D26" s="168">
        <v>0</v>
      </c>
      <c r="E26" s="168">
        <v>0</v>
      </c>
      <c r="F26" s="168">
        <v>0</v>
      </c>
      <c r="G26" s="158">
        <v>0</v>
      </c>
      <c r="H26" s="168">
        <v>152</v>
      </c>
      <c r="I26" s="168">
        <v>506</v>
      </c>
      <c r="J26" s="168">
        <v>0</v>
      </c>
      <c r="K26" s="168">
        <v>0</v>
      </c>
      <c r="L26" s="158">
        <f t="shared" si="0"/>
        <v>0</v>
      </c>
      <c r="M26" s="168">
        <v>600</v>
      </c>
      <c r="N26" s="168">
        <v>2359</v>
      </c>
      <c r="O26" s="168">
        <v>0</v>
      </c>
      <c r="P26" s="168">
        <v>0</v>
      </c>
      <c r="Q26" s="158">
        <f t="shared" si="1"/>
        <v>0</v>
      </c>
    </row>
    <row r="27" spans="1:19" s="159" customFormat="1" x14ac:dyDescent="0.2">
      <c r="A27" s="144">
        <v>22</v>
      </c>
      <c r="B27" s="167" t="s">
        <v>71</v>
      </c>
      <c r="C27" s="168">
        <v>232</v>
      </c>
      <c r="D27" s="168">
        <v>8775</v>
      </c>
      <c r="E27" s="168">
        <v>21</v>
      </c>
      <c r="F27" s="168">
        <v>10329</v>
      </c>
      <c r="G27" s="158">
        <f t="shared" si="2"/>
        <v>117.7094017094017</v>
      </c>
      <c r="H27" s="168">
        <v>12792</v>
      </c>
      <c r="I27" s="168">
        <v>45435</v>
      </c>
      <c r="J27" s="168">
        <v>3751</v>
      </c>
      <c r="K27" s="168">
        <v>3134</v>
      </c>
      <c r="L27" s="158">
        <f t="shared" si="0"/>
        <v>6.8977660393969407</v>
      </c>
      <c r="M27" s="168">
        <v>48668</v>
      </c>
      <c r="N27" s="168">
        <v>194981</v>
      </c>
      <c r="O27" s="168">
        <v>28186</v>
      </c>
      <c r="P27" s="168">
        <v>34479</v>
      </c>
      <c r="Q27" s="158">
        <f t="shared" si="1"/>
        <v>17.683261445987046</v>
      </c>
      <c r="R27" s="157"/>
      <c r="S27" s="157"/>
    </row>
    <row r="28" spans="1:19" x14ac:dyDescent="0.2">
      <c r="A28" s="144">
        <v>23</v>
      </c>
      <c r="B28" s="167" t="s">
        <v>66</v>
      </c>
      <c r="C28" s="168">
        <v>0</v>
      </c>
      <c r="D28" s="168">
        <v>0</v>
      </c>
      <c r="E28" s="168">
        <v>0</v>
      </c>
      <c r="F28" s="168">
        <v>0</v>
      </c>
      <c r="G28" s="158">
        <v>0</v>
      </c>
      <c r="H28" s="168">
        <v>485</v>
      </c>
      <c r="I28" s="168">
        <v>1723</v>
      </c>
      <c r="J28" s="168">
        <v>920</v>
      </c>
      <c r="K28" s="168">
        <v>2028</v>
      </c>
      <c r="L28" s="158">
        <f t="shared" si="0"/>
        <v>117.70168311085317</v>
      </c>
      <c r="M28" s="168">
        <v>1228</v>
      </c>
      <c r="N28" s="168">
        <v>6280</v>
      </c>
      <c r="O28" s="380">
        <v>17400</v>
      </c>
      <c r="P28" s="168">
        <v>15194</v>
      </c>
      <c r="Q28" s="158">
        <f t="shared" si="1"/>
        <v>241.94267515923568</v>
      </c>
    </row>
    <row r="29" spans="1:19" x14ac:dyDescent="0.2">
      <c r="A29" s="144">
        <v>24</v>
      </c>
      <c r="B29" s="167" t="s">
        <v>214</v>
      </c>
      <c r="C29" s="168">
        <v>101</v>
      </c>
      <c r="D29" s="168">
        <v>2600</v>
      </c>
      <c r="E29" s="168">
        <v>0</v>
      </c>
      <c r="F29" s="168">
        <v>0</v>
      </c>
      <c r="G29" s="158">
        <f t="shared" si="2"/>
        <v>0</v>
      </c>
      <c r="H29" s="168">
        <v>1008</v>
      </c>
      <c r="I29" s="168">
        <v>3443</v>
      </c>
      <c r="J29" s="168">
        <v>64</v>
      </c>
      <c r="K29" s="168">
        <v>212.91</v>
      </c>
      <c r="L29" s="158">
        <f t="shared" si="0"/>
        <v>6.1838512924774909</v>
      </c>
      <c r="M29" s="168">
        <v>3792</v>
      </c>
      <c r="N29" s="168">
        <v>15487</v>
      </c>
      <c r="O29" s="168">
        <v>238</v>
      </c>
      <c r="P29" s="168">
        <v>2691.68</v>
      </c>
      <c r="Q29" s="158">
        <f t="shared" si="1"/>
        <v>17.380254406921935</v>
      </c>
    </row>
    <row r="30" spans="1:19" x14ac:dyDescent="0.2">
      <c r="A30" s="144">
        <v>25</v>
      </c>
      <c r="B30" s="167" t="s">
        <v>67</v>
      </c>
      <c r="C30" s="168">
        <v>122</v>
      </c>
      <c r="D30" s="168">
        <v>3094</v>
      </c>
      <c r="E30" s="168">
        <v>0</v>
      </c>
      <c r="F30" s="168">
        <v>0</v>
      </c>
      <c r="G30" s="158">
        <f t="shared" si="2"/>
        <v>0</v>
      </c>
      <c r="H30" s="168">
        <v>1498</v>
      </c>
      <c r="I30" s="168">
        <v>5699</v>
      </c>
      <c r="J30" s="168">
        <v>1162</v>
      </c>
      <c r="K30" s="168">
        <v>906.04</v>
      </c>
      <c r="L30" s="158">
        <f t="shared" si="0"/>
        <v>15.89822775925601</v>
      </c>
      <c r="M30" s="168">
        <v>8740</v>
      </c>
      <c r="N30" s="168">
        <v>24155</v>
      </c>
      <c r="O30" s="168">
        <v>11068</v>
      </c>
      <c r="P30" s="168">
        <v>6470.18</v>
      </c>
      <c r="Q30" s="158">
        <f t="shared" si="1"/>
        <v>26.78608983647278</v>
      </c>
    </row>
    <row r="31" spans="1:19" x14ac:dyDescent="0.2">
      <c r="A31" s="144">
        <v>26</v>
      </c>
      <c r="B31" s="169" t="s">
        <v>68</v>
      </c>
      <c r="C31" s="168">
        <v>0</v>
      </c>
      <c r="D31" s="168">
        <v>0</v>
      </c>
      <c r="E31" s="168">
        <v>0</v>
      </c>
      <c r="F31" s="168">
        <v>0</v>
      </c>
      <c r="G31" s="158">
        <v>0</v>
      </c>
      <c r="H31" s="168">
        <v>121</v>
      </c>
      <c r="I31" s="168">
        <v>424</v>
      </c>
      <c r="J31" s="168">
        <v>4</v>
      </c>
      <c r="K31" s="168">
        <v>11</v>
      </c>
      <c r="L31" s="158">
        <f t="shared" si="0"/>
        <v>2.5943396226415096</v>
      </c>
      <c r="M31" s="168">
        <v>304</v>
      </c>
      <c r="N31" s="168">
        <v>1688</v>
      </c>
      <c r="O31" s="168">
        <v>43</v>
      </c>
      <c r="P31" s="168">
        <v>464</v>
      </c>
      <c r="Q31" s="158">
        <f t="shared" si="1"/>
        <v>27.488151658767773</v>
      </c>
    </row>
    <row r="32" spans="1:19" x14ac:dyDescent="0.2">
      <c r="A32" s="144">
        <v>27</v>
      </c>
      <c r="B32" s="167" t="s">
        <v>51</v>
      </c>
      <c r="C32" s="168">
        <v>0</v>
      </c>
      <c r="D32" s="168">
        <v>0</v>
      </c>
      <c r="E32" s="168">
        <v>0</v>
      </c>
      <c r="F32" s="168">
        <v>0</v>
      </c>
      <c r="G32" s="158">
        <v>0</v>
      </c>
      <c r="H32" s="168">
        <v>199</v>
      </c>
      <c r="I32" s="168">
        <v>745</v>
      </c>
      <c r="J32" s="168">
        <v>58</v>
      </c>
      <c r="K32" s="168">
        <v>50.4</v>
      </c>
      <c r="L32" s="158">
        <f t="shared" si="0"/>
        <v>6.7651006711409396</v>
      </c>
      <c r="M32" s="168">
        <v>744</v>
      </c>
      <c r="N32" s="168">
        <v>2912</v>
      </c>
      <c r="O32" s="168">
        <v>253</v>
      </c>
      <c r="P32" s="168">
        <v>2380</v>
      </c>
      <c r="Q32" s="158">
        <f t="shared" si="1"/>
        <v>81.730769230769226</v>
      </c>
    </row>
    <row r="33" spans="1:19" s="159" customFormat="1" x14ac:dyDescent="0.2">
      <c r="A33" s="287"/>
      <c r="B33" s="170" t="s">
        <v>215</v>
      </c>
      <c r="C33" s="171">
        <f>SUM(C6:C32)</f>
        <v>1095</v>
      </c>
      <c r="D33" s="171">
        <f t="shared" ref="D33:P33" si="3">SUM(D6:D32)</f>
        <v>35344</v>
      </c>
      <c r="E33" s="171">
        <f t="shared" si="3"/>
        <v>29</v>
      </c>
      <c r="F33" s="171">
        <f t="shared" si="3"/>
        <v>11348.94</v>
      </c>
      <c r="G33" s="146">
        <f t="shared" si="2"/>
        <v>32.109947940244453</v>
      </c>
      <c r="H33" s="171">
        <f t="shared" si="3"/>
        <v>31954</v>
      </c>
      <c r="I33" s="171">
        <f t="shared" si="3"/>
        <v>115768</v>
      </c>
      <c r="J33" s="171">
        <f t="shared" si="3"/>
        <v>11903</v>
      </c>
      <c r="K33" s="171">
        <f t="shared" si="3"/>
        <v>16506.43</v>
      </c>
      <c r="L33" s="146">
        <f t="shared" si="0"/>
        <v>14.258197429341442</v>
      </c>
      <c r="M33" s="171">
        <f t="shared" si="3"/>
        <v>126567</v>
      </c>
      <c r="N33" s="171">
        <f t="shared" si="3"/>
        <v>479584</v>
      </c>
      <c r="O33" s="171">
        <f t="shared" si="3"/>
        <v>103503</v>
      </c>
      <c r="P33" s="171">
        <f t="shared" si="3"/>
        <v>139702.5</v>
      </c>
      <c r="Q33" s="146">
        <f t="shared" si="1"/>
        <v>29.129933442316673</v>
      </c>
    </row>
    <row r="34" spans="1:19" s="159" customFormat="1" x14ac:dyDescent="0.2">
      <c r="A34" s="144">
        <v>28</v>
      </c>
      <c r="B34" s="167" t="s">
        <v>48</v>
      </c>
      <c r="C34" s="168">
        <v>85</v>
      </c>
      <c r="D34" s="168">
        <v>1149</v>
      </c>
      <c r="E34" s="168">
        <v>0</v>
      </c>
      <c r="F34" s="168">
        <v>0</v>
      </c>
      <c r="G34" s="158">
        <f t="shared" si="2"/>
        <v>0</v>
      </c>
      <c r="H34" s="168">
        <v>538</v>
      </c>
      <c r="I34" s="168">
        <v>1893</v>
      </c>
      <c r="J34" s="168">
        <v>196</v>
      </c>
      <c r="K34" s="168">
        <v>546.6</v>
      </c>
      <c r="L34" s="158">
        <f t="shared" si="0"/>
        <v>28.874801901743265</v>
      </c>
      <c r="M34" s="168">
        <v>2191</v>
      </c>
      <c r="N34" s="168">
        <v>9983</v>
      </c>
      <c r="O34" s="168">
        <v>1186</v>
      </c>
      <c r="P34" s="168">
        <v>7823.61</v>
      </c>
      <c r="Q34" s="158">
        <f t="shared" si="1"/>
        <v>78.369327857357504</v>
      </c>
      <c r="R34" s="157"/>
      <c r="S34" s="157"/>
    </row>
    <row r="35" spans="1:19" x14ac:dyDescent="0.2">
      <c r="A35" s="144">
        <v>29</v>
      </c>
      <c r="B35" s="167" t="s">
        <v>216</v>
      </c>
      <c r="C35" s="168">
        <v>0</v>
      </c>
      <c r="D35" s="168">
        <v>0</v>
      </c>
      <c r="E35" s="168">
        <v>0</v>
      </c>
      <c r="F35" s="168">
        <v>0</v>
      </c>
      <c r="G35" s="158">
        <v>0</v>
      </c>
      <c r="H35" s="168">
        <v>4</v>
      </c>
      <c r="I35" s="168">
        <v>10</v>
      </c>
      <c r="J35" s="168">
        <v>0</v>
      </c>
      <c r="K35" s="168">
        <v>0</v>
      </c>
      <c r="L35" s="158">
        <f t="shared" si="0"/>
        <v>0</v>
      </c>
      <c r="M35" s="168">
        <v>28</v>
      </c>
      <c r="N35" s="168">
        <v>62</v>
      </c>
      <c r="O35" s="168">
        <v>0</v>
      </c>
      <c r="P35" s="168">
        <v>0</v>
      </c>
      <c r="Q35" s="158">
        <f t="shared" si="1"/>
        <v>0</v>
      </c>
    </row>
    <row r="36" spans="1:19" x14ac:dyDescent="0.2">
      <c r="A36" s="144">
        <v>30</v>
      </c>
      <c r="B36" s="145" t="s">
        <v>217</v>
      </c>
      <c r="C36" s="168">
        <v>0</v>
      </c>
      <c r="D36" s="168">
        <v>0</v>
      </c>
      <c r="E36" s="168">
        <v>0</v>
      </c>
      <c r="F36" s="168">
        <v>0</v>
      </c>
      <c r="G36" s="158">
        <v>0</v>
      </c>
      <c r="H36" s="168">
        <v>0</v>
      </c>
      <c r="I36" s="168">
        <v>0</v>
      </c>
      <c r="J36" s="168">
        <v>0</v>
      </c>
      <c r="K36" s="168">
        <v>0</v>
      </c>
      <c r="L36" s="158">
        <v>0</v>
      </c>
      <c r="M36" s="168">
        <v>0</v>
      </c>
      <c r="N36" s="168">
        <v>0</v>
      </c>
      <c r="O36" s="168">
        <v>0</v>
      </c>
      <c r="P36" s="168">
        <v>0</v>
      </c>
      <c r="Q36" s="158">
        <v>0</v>
      </c>
    </row>
    <row r="37" spans="1:19" x14ac:dyDescent="0.2">
      <c r="A37" s="144">
        <v>31</v>
      </c>
      <c r="B37" s="145" t="s">
        <v>79</v>
      </c>
      <c r="C37" s="168">
        <v>0</v>
      </c>
      <c r="D37" s="168">
        <v>0</v>
      </c>
      <c r="E37" s="168">
        <v>0</v>
      </c>
      <c r="F37" s="168">
        <v>0</v>
      </c>
      <c r="G37" s="158">
        <v>0</v>
      </c>
      <c r="H37" s="168">
        <v>0</v>
      </c>
      <c r="I37" s="168">
        <v>0</v>
      </c>
      <c r="J37" s="168">
        <v>0</v>
      </c>
      <c r="K37" s="168">
        <v>0</v>
      </c>
      <c r="L37" s="158">
        <v>0</v>
      </c>
      <c r="M37" s="168"/>
      <c r="N37" s="168">
        <v>0</v>
      </c>
      <c r="O37" s="168">
        <v>0</v>
      </c>
      <c r="P37" s="168">
        <v>0</v>
      </c>
      <c r="Q37" s="158">
        <v>0</v>
      </c>
    </row>
    <row r="38" spans="1:19" x14ac:dyDescent="0.2">
      <c r="A38" s="144">
        <v>32</v>
      </c>
      <c r="B38" s="167" t="s">
        <v>52</v>
      </c>
      <c r="C38" s="168">
        <v>0</v>
      </c>
      <c r="D38" s="168">
        <v>0</v>
      </c>
      <c r="E38" s="168">
        <v>0</v>
      </c>
      <c r="F38" s="168">
        <v>0</v>
      </c>
      <c r="G38" s="158">
        <v>0</v>
      </c>
      <c r="H38" s="168">
        <v>4</v>
      </c>
      <c r="I38" s="168">
        <v>8</v>
      </c>
      <c r="J38" s="168">
        <v>0</v>
      </c>
      <c r="K38" s="168">
        <v>0</v>
      </c>
      <c r="L38" s="158">
        <f t="shared" si="0"/>
        <v>0</v>
      </c>
      <c r="M38" s="168">
        <v>16</v>
      </c>
      <c r="N38" s="168">
        <v>75</v>
      </c>
      <c r="O38" s="168">
        <v>10</v>
      </c>
      <c r="P38" s="168">
        <v>128.35</v>
      </c>
      <c r="Q38" s="158">
        <f t="shared" si="1"/>
        <v>171.13333333333333</v>
      </c>
    </row>
    <row r="39" spans="1:19" x14ac:dyDescent="0.2">
      <c r="A39" s="144">
        <v>33</v>
      </c>
      <c r="B39" s="167" t="s">
        <v>218</v>
      </c>
      <c r="C39" s="168">
        <v>0</v>
      </c>
      <c r="D39" s="168">
        <v>0</v>
      </c>
      <c r="E39" s="168">
        <v>0</v>
      </c>
      <c r="F39" s="168">
        <v>0</v>
      </c>
      <c r="G39" s="158">
        <v>0</v>
      </c>
      <c r="H39" s="168">
        <v>8</v>
      </c>
      <c r="I39" s="168">
        <v>40</v>
      </c>
      <c r="J39" s="168">
        <v>0</v>
      </c>
      <c r="K39" s="168">
        <v>0</v>
      </c>
      <c r="L39" s="158">
        <f t="shared" si="0"/>
        <v>0</v>
      </c>
      <c r="M39" s="168">
        <v>10</v>
      </c>
      <c r="N39" s="168">
        <v>40</v>
      </c>
      <c r="O39" s="168">
        <v>0</v>
      </c>
      <c r="P39" s="168">
        <v>0</v>
      </c>
      <c r="Q39" s="158">
        <f t="shared" si="1"/>
        <v>0</v>
      </c>
    </row>
    <row r="40" spans="1:19" x14ac:dyDescent="0.2">
      <c r="A40" s="144">
        <v>34</v>
      </c>
      <c r="B40" s="167" t="s">
        <v>219</v>
      </c>
      <c r="C40" s="168">
        <v>0</v>
      </c>
      <c r="D40" s="168">
        <v>0</v>
      </c>
      <c r="E40" s="168">
        <v>0</v>
      </c>
      <c r="F40" s="168">
        <v>0</v>
      </c>
      <c r="G40" s="158">
        <v>0</v>
      </c>
      <c r="H40" s="168">
        <v>36</v>
      </c>
      <c r="I40" s="168">
        <v>135</v>
      </c>
      <c r="J40" s="168">
        <v>0</v>
      </c>
      <c r="K40" s="168">
        <v>0</v>
      </c>
      <c r="L40" s="158">
        <f t="shared" si="0"/>
        <v>0</v>
      </c>
      <c r="M40" s="168">
        <v>128</v>
      </c>
      <c r="N40" s="168">
        <v>568</v>
      </c>
      <c r="O40" s="168">
        <v>0</v>
      </c>
      <c r="P40" s="168">
        <v>0</v>
      </c>
      <c r="Q40" s="158">
        <f t="shared" si="1"/>
        <v>0</v>
      </c>
    </row>
    <row r="41" spans="1:19" x14ac:dyDescent="0.2">
      <c r="A41" s="144">
        <v>35</v>
      </c>
      <c r="B41" s="167" t="s">
        <v>220</v>
      </c>
      <c r="C41" s="168">
        <v>0</v>
      </c>
      <c r="D41" s="168">
        <v>0</v>
      </c>
      <c r="E41" s="168">
        <v>0</v>
      </c>
      <c r="F41" s="168">
        <v>0</v>
      </c>
      <c r="G41" s="158">
        <v>0</v>
      </c>
      <c r="H41" s="168">
        <v>74</v>
      </c>
      <c r="I41" s="168">
        <v>255</v>
      </c>
      <c r="J41" s="168">
        <v>4</v>
      </c>
      <c r="K41" s="168">
        <v>4.58</v>
      </c>
      <c r="L41" s="158">
        <f t="shared" si="0"/>
        <v>1.7960784313725491</v>
      </c>
      <c r="M41" s="168">
        <v>268</v>
      </c>
      <c r="N41" s="168">
        <v>1214</v>
      </c>
      <c r="O41" s="168">
        <v>21</v>
      </c>
      <c r="P41" s="168">
        <v>201.67</v>
      </c>
      <c r="Q41" s="158">
        <f t="shared" si="1"/>
        <v>16.612026359143329</v>
      </c>
    </row>
    <row r="42" spans="1:19" x14ac:dyDescent="0.2">
      <c r="A42" s="144">
        <v>36</v>
      </c>
      <c r="B42" s="167" t="s">
        <v>72</v>
      </c>
      <c r="C42" s="168">
        <v>87</v>
      </c>
      <c r="D42" s="168">
        <v>3019</v>
      </c>
      <c r="E42" s="168">
        <v>23</v>
      </c>
      <c r="F42" s="168">
        <v>6126</v>
      </c>
      <c r="G42" s="158">
        <f t="shared" si="2"/>
        <v>202.91487247432926</v>
      </c>
      <c r="H42" s="168">
        <v>1028</v>
      </c>
      <c r="I42" s="168">
        <v>3675</v>
      </c>
      <c r="J42" s="168">
        <v>226</v>
      </c>
      <c r="K42" s="168">
        <v>351</v>
      </c>
      <c r="L42" s="158">
        <f t="shared" si="0"/>
        <v>9.5510204081632661</v>
      </c>
      <c r="M42" s="168">
        <v>4210</v>
      </c>
      <c r="N42" s="168">
        <v>18173</v>
      </c>
      <c r="O42" s="168">
        <v>734</v>
      </c>
      <c r="P42" s="168">
        <v>2012</v>
      </c>
      <c r="Q42" s="158">
        <f t="shared" si="1"/>
        <v>11.071369614262917</v>
      </c>
    </row>
    <row r="43" spans="1:19" x14ac:dyDescent="0.2">
      <c r="A43" s="144">
        <v>37</v>
      </c>
      <c r="B43" s="167" t="s">
        <v>73</v>
      </c>
      <c r="C43" s="168">
        <v>44</v>
      </c>
      <c r="D43" s="168">
        <v>2956</v>
      </c>
      <c r="E43" s="168">
        <v>0</v>
      </c>
      <c r="F43" s="168">
        <v>0</v>
      </c>
      <c r="G43" s="158">
        <v>0</v>
      </c>
      <c r="H43" s="168">
        <v>1050</v>
      </c>
      <c r="I43" s="168">
        <v>3652</v>
      </c>
      <c r="J43" s="168">
        <v>0</v>
      </c>
      <c r="K43" s="168">
        <v>0</v>
      </c>
      <c r="L43" s="158">
        <f t="shared" si="0"/>
        <v>0</v>
      </c>
      <c r="M43" s="168">
        <v>4348</v>
      </c>
      <c r="N43" s="168">
        <v>20226</v>
      </c>
      <c r="O43" s="168">
        <v>47</v>
      </c>
      <c r="P43" s="168">
        <v>745.14</v>
      </c>
      <c r="Q43" s="158">
        <f t="shared" si="1"/>
        <v>3.6840700088994365</v>
      </c>
    </row>
    <row r="44" spans="1:19" x14ac:dyDescent="0.2">
      <c r="A44" s="144">
        <v>38</v>
      </c>
      <c r="B44" s="167" t="s">
        <v>221</v>
      </c>
      <c r="C44" s="168">
        <v>0</v>
      </c>
      <c r="D44" s="168">
        <v>0</v>
      </c>
      <c r="E44" s="168">
        <v>0</v>
      </c>
      <c r="F44" s="168">
        <v>0</v>
      </c>
      <c r="G44" s="158">
        <v>0</v>
      </c>
      <c r="H44" s="168"/>
      <c r="I44" s="168"/>
      <c r="J44" s="168">
        <v>0</v>
      </c>
      <c r="K44" s="168">
        <v>0</v>
      </c>
      <c r="L44" s="158">
        <v>0</v>
      </c>
      <c r="M44" s="168">
        <v>0</v>
      </c>
      <c r="N44" s="168">
        <v>0</v>
      </c>
      <c r="O44" s="168">
        <v>0</v>
      </c>
      <c r="P44" s="168">
        <v>0</v>
      </c>
      <c r="Q44" s="158">
        <v>0</v>
      </c>
    </row>
    <row r="45" spans="1:19" x14ac:dyDescent="0.2">
      <c r="A45" s="144">
        <v>39</v>
      </c>
      <c r="B45" s="167" t="s">
        <v>222</v>
      </c>
      <c r="C45" s="168">
        <v>0</v>
      </c>
      <c r="D45" s="168">
        <v>0</v>
      </c>
      <c r="E45" s="168">
        <v>0</v>
      </c>
      <c r="F45" s="168">
        <v>0</v>
      </c>
      <c r="G45" s="158">
        <v>0</v>
      </c>
      <c r="H45" s="168">
        <v>178</v>
      </c>
      <c r="I45" s="168">
        <v>650</v>
      </c>
      <c r="J45" s="168">
        <v>0</v>
      </c>
      <c r="K45" s="168">
        <v>0</v>
      </c>
      <c r="L45" s="158">
        <f t="shared" si="0"/>
        <v>0</v>
      </c>
      <c r="M45" s="168">
        <v>559</v>
      </c>
      <c r="N45" s="168">
        <v>2475</v>
      </c>
      <c r="O45" s="168">
        <v>0</v>
      </c>
      <c r="P45" s="168">
        <v>0</v>
      </c>
      <c r="Q45" s="158">
        <f t="shared" si="1"/>
        <v>0</v>
      </c>
    </row>
    <row r="46" spans="1:19" x14ac:dyDescent="0.2">
      <c r="A46" s="144">
        <v>40</v>
      </c>
      <c r="B46" s="167" t="s">
        <v>223</v>
      </c>
      <c r="C46" s="168">
        <v>0</v>
      </c>
      <c r="D46" s="168">
        <v>0</v>
      </c>
      <c r="E46" s="168">
        <v>0</v>
      </c>
      <c r="F46" s="168">
        <v>0</v>
      </c>
      <c r="G46" s="158">
        <v>0</v>
      </c>
      <c r="H46" s="168">
        <v>62</v>
      </c>
      <c r="I46" s="168">
        <v>224</v>
      </c>
      <c r="J46" s="168">
        <v>0</v>
      </c>
      <c r="K46" s="168">
        <v>0</v>
      </c>
      <c r="L46" s="158">
        <f t="shared" si="0"/>
        <v>0</v>
      </c>
      <c r="M46" s="168">
        <v>244</v>
      </c>
      <c r="N46" s="168">
        <v>1128</v>
      </c>
      <c r="O46" s="380">
        <v>38</v>
      </c>
      <c r="P46" s="380">
        <v>248</v>
      </c>
      <c r="Q46" s="158">
        <f t="shared" si="1"/>
        <v>21.98581560283688</v>
      </c>
    </row>
    <row r="47" spans="1:19" x14ac:dyDescent="0.2">
      <c r="A47" s="144">
        <v>41</v>
      </c>
      <c r="B47" s="167" t="s">
        <v>224</v>
      </c>
      <c r="C47" s="168">
        <v>0</v>
      </c>
      <c r="D47" s="168">
        <v>0</v>
      </c>
      <c r="E47" s="168">
        <v>0</v>
      </c>
      <c r="F47" s="168">
        <v>0</v>
      </c>
      <c r="G47" s="158">
        <v>0</v>
      </c>
      <c r="H47" s="168">
        <v>64</v>
      </c>
      <c r="I47" s="168">
        <v>238</v>
      </c>
      <c r="J47" s="168">
        <v>1</v>
      </c>
      <c r="K47" s="168">
        <v>5.59</v>
      </c>
      <c r="L47" s="158">
        <f t="shared" si="0"/>
        <v>2.3487394957983194</v>
      </c>
      <c r="M47" s="168">
        <v>266</v>
      </c>
      <c r="N47" s="168">
        <v>1101</v>
      </c>
      <c r="O47" s="168">
        <v>29</v>
      </c>
      <c r="P47" s="168">
        <v>480.13</v>
      </c>
      <c r="Q47" s="158">
        <f t="shared" si="1"/>
        <v>43.608537693006355</v>
      </c>
    </row>
    <row r="48" spans="1:19" x14ac:dyDescent="0.2">
      <c r="A48" s="144">
        <v>42</v>
      </c>
      <c r="B48" s="167" t="s">
        <v>225</v>
      </c>
      <c r="C48" s="168">
        <v>0</v>
      </c>
      <c r="D48" s="168">
        <v>0</v>
      </c>
      <c r="E48" s="168">
        <v>0</v>
      </c>
      <c r="F48" s="168">
        <v>0</v>
      </c>
      <c r="G48" s="158">
        <v>0</v>
      </c>
      <c r="H48" s="168">
        <v>12</v>
      </c>
      <c r="I48" s="168">
        <v>33</v>
      </c>
      <c r="J48" s="168">
        <v>0</v>
      </c>
      <c r="K48" s="168">
        <v>0</v>
      </c>
      <c r="L48" s="158">
        <f t="shared" si="0"/>
        <v>0</v>
      </c>
      <c r="M48" s="168">
        <v>66</v>
      </c>
      <c r="N48" s="168">
        <v>323</v>
      </c>
      <c r="O48" s="380">
        <v>2</v>
      </c>
      <c r="P48" s="380">
        <v>2</v>
      </c>
      <c r="Q48" s="158">
        <f t="shared" si="1"/>
        <v>0.61919504643962853</v>
      </c>
    </row>
    <row r="49" spans="1:19" x14ac:dyDescent="0.2">
      <c r="A49" s="144">
        <v>43</v>
      </c>
      <c r="B49" s="172" t="s">
        <v>74</v>
      </c>
      <c r="C49" s="168">
        <v>0</v>
      </c>
      <c r="D49" s="168">
        <v>0</v>
      </c>
      <c r="E49" s="168">
        <v>0</v>
      </c>
      <c r="F49" s="168">
        <v>0</v>
      </c>
      <c r="G49" s="158">
        <v>0</v>
      </c>
      <c r="H49" s="168">
        <v>86</v>
      </c>
      <c r="I49" s="168">
        <v>311</v>
      </c>
      <c r="J49" s="168">
        <v>0</v>
      </c>
      <c r="K49" s="168">
        <v>0</v>
      </c>
      <c r="L49" s="158">
        <f t="shared" si="0"/>
        <v>0</v>
      </c>
      <c r="M49" s="168">
        <v>308</v>
      </c>
      <c r="N49" s="168">
        <v>1476</v>
      </c>
      <c r="O49" s="168">
        <v>4</v>
      </c>
      <c r="P49" s="168">
        <v>611</v>
      </c>
      <c r="Q49" s="158">
        <f t="shared" si="1"/>
        <v>41.395663956639567</v>
      </c>
    </row>
    <row r="50" spans="1:19" x14ac:dyDescent="0.2">
      <c r="A50" s="144">
        <v>44</v>
      </c>
      <c r="B50" s="167" t="s">
        <v>226</v>
      </c>
      <c r="C50" s="168">
        <v>0</v>
      </c>
      <c r="D50" s="168">
        <v>0</v>
      </c>
      <c r="E50" s="168">
        <v>0</v>
      </c>
      <c r="F50" s="168">
        <v>0</v>
      </c>
      <c r="G50" s="158">
        <v>0</v>
      </c>
      <c r="H50" s="168">
        <v>4</v>
      </c>
      <c r="I50" s="168">
        <v>11</v>
      </c>
      <c r="J50" s="168">
        <v>0</v>
      </c>
      <c r="K50" s="168">
        <v>0</v>
      </c>
      <c r="L50" s="158">
        <f t="shared" si="0"/>
        <v>0</v>
      </c>
      <c r="M50" s="168">
        <v>22</v>
      </c>
      <c r="N50" s="168">
        <v>108</v>
      </c>
      <c r="O50" s="168">
        <v>9</v>
      </c>
      <c r="P50" s="168">
        <v>83</v>
      </c>
      <c r="Q50" s="158">
        <f t="shared" si="1"/>
        <v>76.851851851851848</v>
      </c>
    </row>
    <row r="51" spans="1:19" x14ac:dyDescent="0.2">
      <c r="A51" s="144">
        <v>45</v>
      </c>
      <c r="B51" s="167" t="s">
        <v>227</v>
      </c>
      <c r="C51" s="168">
        <v>0</v>
      </c>
      <c r="D51" s="168">
        <v>0</v>
      </c>
      <c r="E51" s="168">
        <v>0</v>
      </c>
      <c r="F51" s="168">
        <v>0</v>
      </c>
      <c r="G51" s="158">
        <v>0</v>
      </c>
      <c r="H51" s="168">
        <v>14</v>
      </c>
      <c r="I51" s="168">
        <v>69</v>
      </c>
      <c r="J51" s="168">
        <v>298</v>
      </c>
      <c r="K51" s="168">
        <v>66</v>
      </c>
      <c r="L51" s="158">
        <f t="shared" si="0"/>
        <v>95.652173913043484</v>
      </c>
      <c r="M51" s="168">
        <v>20</v>
      </c>
      <c r="N51" s="168">
        <v>81</v>
      </c>
      <c r="O51" s="168">
        <v>182</v>
      </c>
      <c r="P51" s="168">
        <v>55</v>
      </c>
      <c r="Q51" s="158">
        <f t="shared" si="1"/>
        <v>67.901234567901241</v>
      </c>
    </row>
    <row r="52" spans="1:19" s="159" customFormat="1" x14ac:dyDescent="0.2">
      <c r="A52" s="144">
        <v>46</v>
      </c>
      <c r="B52" s="167" t="s">
        <v>228</v>
      </c>
      <c r="C52" s="168">
        <v>0</v>
      </c>
      <c r="D52" s="168">
        <v>0</v>
      </c>
      <c r="E52" s="168">
        <v>0</v>
      </c>
      <c r="F52" s="168">
        <v>0</v>
      </c>
      <c r="G52" s="158">
        <v>0</v>
      </c>
      <c r="H52" s="168">
        <v>44</v>
      </c>
      <c r="I52" s="168">
        <v>149</v>
      </c>
      <c r="J52" s="168">
        <v>0</v>
      </c>
      <c r="K52" s="168">
        <v>0</v>
      </c>
      <c r="L52" s="158">
        <f t="shared" si="0"/>
        <v>0</v>
      </c>
      <c r="M52" s="168">
        <v>154</v>
      </c>
      <c r="N52" s="168">
        <v>706</v>
      </c>
      <c r="O52" s="168">
        <v>0</v>
      </c>
      <c r="P52" s="168">
        <v>0</v>
      </c>
      <c r="Q52" s="158">
        <f t="shared" si="1"/>
        <v>0</v>
      </c>
      <c r="R52" s="157"/>
      <c r="S52" s="157"/>
    </row>
    <row r="53" spans="1:19" x14ac:dyDescent="0.2">
      <c r="A53" s="144">
        <v>47</v>
      </c>
      <c r="B53" s="167" t="s">
        <v>78</v>
      </c>
      <c r="C53" s="168">
        <v>0</v>
      </c>
      <c r="D53" s="168">
        <v>0</v>
      </c>
      <c r="E53" s="168">
        <v>0</v>
      </c>
      <c r="F53" s="168">
        <v>0</v>
      </c>
      <c r="G53" s="158">
        <v>0</v>
      </c>
      <c r="H53" s="168">
        <v>0</v>
      </c>
      <c r="I53" s="168">
        <v>0</v>
      </c>
      <c r="J53" s="168">
        <v>0</v>
      </c>
      <c r="K53" s="168">
        <v>0</v>
      </c>
      <c r="L53" s="158">
        <v>0</v>
      </c>
      <c r="M53" s="168">
        <v>0</v>
      </c>
      <c r="N53" s="168">
        <v>0</v>
      </c>
      <c r="O53" s="168">
        <v>0</v>
      </c>
      <c r="P53" s="168">
        <v>0</v>
      </c>
      <c r="Q53" s="158">
        <v>0</v>
      </c>
    </row>
    <row r="54" spans="1:19" x14ac:dyDescent="0.2">
      <c r="A54" s="144">
        <v>48</v>
      </c>
      <c r="B54" s="167" t="s">
        <v>229</v>
      </c>
      <c r="C54" s="168">
        <v>0</v>
      </c>
      <c r="D54" s="168">
        <v>0</v>
      </c>
      <c r="E54" s="168">
        <v>0</v>
      </c>
      <c r="F54" s="168">
        <v>0</v>
      </c>
      <c r="G54" s="158">
        <v>0</v>
      </c>
      <c r="H54" s="168">
        <v>0</v>
      </c>
      <c r="I54" s="168">
        <v>0</v>
      </c>
      <c r="J54" s="168">
        <v>0</v>
      </c>
      <c r="K54" s="168">
        <v>0</v>
      </c>
      <c r="L54" s="158">
        <v>0</v>
      </c>
      <c r="M54" s="168">
        <v>0</v>
      </c>
      <c r="N54" s="168">
        <v>0</v>
      </c>
      <c r="O54" s="168">
        <v>0</v>
      </c>
      <c r="P54" s="168">
        <v>0</v>
      </c>
      <c r="Q54" s="158">
        <v>0</v>
      </c>
    </row>
    <row r="55" spans="1:19" x14ac:dyDescent="0.2">
      <c r="A55" s="144">
        <v>49</v>
      </c>
      <c r="B55" s="167" t="s">
        <v>77</v>
      </c>
      <c r="C55" s="168">
        <v>0</v>
      </c>
      <c r="D55" s="168">
        <v>0</v>
      </c>
      <c r="E55" s="168">
        <v>0</v>
      </c>
      <c r="F55" s="168">
        <v>0</v>
      </c>
      <c r="G55" s="158">
        <v>0</v>
      </c>
      <c r="H55" s="168">
        <v>98</v>
      </c>
      <c r="I55" s="168">
        <v>391</v>
      </c>
      <c r="J55" s="168">
        <v>0</v>
      </c>
      <c r="K55" s="168">
        <v>0</v>
      </c>
      <c r="L55" s="158">
        <f t="shared" si="0"/>
        <v>0</v>
      </c>
      <c r="M55" s="168">
        <v>328</v>
      </c>
      <c r="N55" s="168">
        <v>1392</v>
      </c>
      <c r="O55" s="168">
        <v>11</v>
      </c>
      <c r="P55" s="168">
        <v>101</v>
      </c>
      <c r="Q55" s="158">
        <f t="shared" si="1"/>
        <v>7.2557471264367814</v>
      </c>
    </row>
    <row r="56" spans="1:19" s="159" customFormat="1" x14ac:dyDescent="0.2">
      <c r="A56" s="287"/>
      <c r="B56" s="170" t="s">
        <v>408</v>
      </c>
      <c r="C56" s="171">
        <f>SUM(C34:C55)</f>
        <v>216</v>
      </c>
      <c r="D56" s="171">
        <f t="shared" ref="D56:P56" si="4">SUM(D34:D55)</f>
        <v>7124</v>
      </c>
      <c r="E56" s="171">
        <f t="shared" si="4"/>
        <v>23</v>
      </c>
      <c r="F56" s="171">
        <f t="shared" si="4"/>
        <v>6126</v>
      </c>
      <c r="G56" s="146">
        <f t="shared" si="2"/>
        <v>85.99101628298709</v>
      </c>
      <c r="H56" s="171">
        <f t="shared" si="4"/>
        <v>3304</v>
      </c>
      <c r="I56" s="171">
        <f t="shared" si="4"/>
        <v>11744</v>
      </c>
      <c r="J56" s="171">
        <f t="shared" si="4"/>
        <v>725</v>
      </c>
      <c r="K56" s="171">
        <f t="shared" si="4"/>
        <v>973.7700000000001</v>
      </c>
      <c r="L56" s="146">
        <f t="shared" si="0"/>
        <v>8.291638283378747</v>
      </c>
      <c r="M56" s="171">
        <f t="shared" si="4"/>
        <v>13166</v>
      </c>
      <c r="N56" s="171">
        <f t="shared" si="4"/>
        <v>59131</v>
      </c>
      <c r="O56" s="171">
        <f t="shared" si="4"/>
        <v>2273</v>
      </c>
      <c r="P56" s="171">
        <f t="shared" si="4"/>
        <v>12490.9</v>
      </c>
      <c r="Q56" s="146">
        <f t="shared" si="1"/>
        <v>21.124114254790211</v>
      </c>
    </row>
    <row r="57" spans="1:19" x14ac:dyDescent="0.2">
      <c r="A57" s="144">
        <v>50</v>
      </c>
      <c r="B57" s="167" t="s">
        <v>47</v>
      </c>
      <c r="C57" s="168">
        <v>0</v>
      </c>
      <c r="D57" s="168">
        <v>0</v>
      </c>
      <c r="E57" s="168">
        <v>0</v>
      </c>
      <c r="F57" s="168">
        <v>0</v>
      </c>
      <c r="G57" s="158">
        <v>0</v>
      </c>
      <c r="H57" s="168">
        <v>941</v>
      </c>
      <c r="I57" s="168">
        <v>3306</v>
      </c>
      <c r="J57" s="168">
        <v>48</v>
      </c>
      <c r="K57" s="168">
        <v>244</v>
      </c>
      <c r="L57" s="158">
        <f t="shared" si="0"/>
        <v>7.3805202661826979</v>
      </c>
      <c r="M57" s="168">
        <v>5892</v>
      </c>
      <c r="N57" s="168">
        <v>11673</v>
      </c>
      <c r="O57" s="168">
        <v>3792</v>
      </c>
      <c r="P57" s="168">
        <v>7143</v>
      </c>
      <c r="Q57" s="158">
        <f t="shared" si="1"/>
        <v>61.192495502441531</v>
      </c>
    </row>
    <row r="58" spans="1:19" s="159" customFormat="1" x14ac:dyDescent="0.2">
      <c r="A58" s="144">
        <v>51</v>
      </c>
      <c r="B58" s="167" t="s">
        <v>230</v>
      </c>
      <c r="C58" s="168">
        <v>0</v>
      </c>
      <c r="D58" s="168">
        <v>0</v>
      </c>
      <c r="E58" s="168">
        <v>0</v>
      </c>
      <c r="F58" s="168">
        <v>0</v>
      </c>
      <c r="G58" s="158">
        <v>0</v>
      </c>
      <c r="H58" s="168">
        <v>904</v>
      </c>
      <c r="I58" s="168">
        <v>3171</v>
      </c>
      <c r="J58" s="168">
        <v>135</v>
      </c>
      <c r="K58" s="168">
        <v>87</v>
      </c>
      <c r="L58" s="158">
        <f t="shared" si="0"/>
        <v>2.7436140018921478</v>
      </c>
      <c r="M58" s="168">
        <v>5644</v>
      </c>
      <c r="N58" s="168">
        <v>10419</v>
      </c>
      <c r="O58" s="380">
        <v>23537</v>
      </c>
      <c r="P58" s="380">
        <v>10623</v>
      </c>
      <c r="Q58" s="158">
        <f t="shared" si="1"/>
        <v>101.95796141664268</v>
      </c>
      <c r="R58" s="157"/>
      <c r="S58" s="157"/>
    </row>
    <row r="59" spans="1:19" s="159" customFormat="1" x14ac:dyDescent="0.2">
      <c r="A59" s="144">
        <v>52</v>
      </c>
      <c r="B59" s="167" t="s">
        <v>53</v>
      </c>
      <c r="C59" s="168">
        <v>0</v>
      </c>
      <c r="D59" s="168">
        <v>0</v>
      </c>
      <c r="E59" s="168">
        <v>0</v>
      </c>
      <c r="F59" s="168">
        <v>0</v>
      </c>
      <c r="G59" s="158">
        <v>0</v>
      </c>
      <c r="H59" s="168">
        <v>523</v>
      </c>
      <c r="I59" s="168">
        <v>2237</v>
      </c>
      <c r="J59" s="168">
        <v>85</v>
      </c>
      <c r="K59" s="168">
        <v>260</v>
      </c>
      <c r="L59" s="158">
        <f t="shared" si="0"/>
        <v>11.622708985248099</v>
      </c>
      <c r="M59" s="168">
        <v>2762</v>
      </c>
      <c r="N59" s="168">
        <v>8851</v>
      </c>
      <c r="O59" s="168">
        <v>1693</v>
      </c>
      <c r="P59" s="168">
        <v>5541.1</v>
      </c>
      <c r="Q59" s="158">
        <f t="shared" si="1"/>
        <v>62.604225511241665</v>
      </c>
      <c r="R59" s="157"/>
      <c r="S59" s="157"/>
    </row>
    <row r="60" spans="1:19" s="159" customFormat="1" x14ac:dyDescent="0.2">
      <c r="A60" s="287"/>
      <c r="B60" s="148" t="s">
        <v>415</v>
      </c>
      <c r="C60" s="171">
        <f>SUM(C57:C59)</f>
        <v>0</v>
      </c>
      <c r="D60" s="171">
        <f t="shared" ref="D60:P60" si="5">SUM(D57:D59)</f>
        <v>0</v>
      </c>
      <c r="E60" s="171">
        <f t="shared" si="5"/>
        <v>0</v>
      </c>
      <c r="F60" s="171">
        <f t="shared" si="5"/>
        <v>0</v>
      </c>
      <c r="G60" s="146">
        <v>0</v>
      </c>
      <c r="H60" s="171">
        <f t="shared" si="5"/>
        <v>2368</v>
      </c>
      <c r="I60" s="171">
        <f t="shared" si="5"/>
        <v>8714</v>
      </c>
      <c r="J60" s="171">
        <f t="shared" si="5"/>
        <v>268</v>
      </c>
      <c r="K60" s="171">
        <f t="shared" si="5"/>
        <v>591</v>
      </c>
      <c r="L60" s="146">
        <f t="shared" si="0"/>
        <v>6.7821895799862286</v>
      </c>
      <c r="M60" s="171">
        <f t="shared" si="5"/>
        <v>14298</v>
      </c>
      <c r="N60" s="171">
        <f t="shared" si="5"/>
        <v>30943</v>
      </c>
      <c r="O60" s="171">
        <f t="shared" si="5"/>
        <v>29022</v>
      </c>
      <c r="P60" s="171">
        <f t="shared" si="5"/>
        <v>23307.1</v>
      </c>
      <c r="Q60" s="146">
        <f t="shared" si="1"/>
        <v>75.322690107617234</v>
      </c>
    </row>
    <row r="61" spans="1:19" x14ac:dyDescent="0.2">
      <c r="A61" s="144">
        <v>53</v>
      </c>
      <c r="B61" s="145" t="s">
        <v>409</v>
      </c>
      <c r="C61" s="168">
        <v>0</v>
      </c>
      <c r="D61" s="168">
        <v>0</v>
      </c>
      <c r="E61" s="168">
        <v>0</v>
      </c>
      <c r="F61" s="168">
        <v>0</v>
      </c>
      <c r="G61" s="158">
        <v>0</v>
      </c>
      <c r="H61" s="168">
        <v>1311</v>
      </c>
      <c r="I61" s="168">
        <v>7259</v>
      </c>
      <c r="J61" s="168"/>
      <c r="K61" s="380">
        <v>308</v>
      </c>
      <c r="L61" s="158">
        <f t="shared" si="0"/>
        <v>4.243008678881389</v>
      </c>
      <c r="M61" s="168">
        <v>8490</v>
      </c>
      <c r="N61" s="168">
        <v>25152</v>
      </c>
      <c r="O61" s="168"/>
      <c r="P61" s="380">
        <v>2803</v>
      </c>
      <c r="Q61" s="158">
        <f t="shared" si="1"/>
        <v>11.144243002544529</v>
      </c>
    </row>
    <row r="62" spans="1:19" s="159" customFormat="1" x14ac:dyDescent="0.2">
      <c r="A62" s="287"/>
      <c r="B62" s="148" t="s">
        <v>410</v>
      </c>
      <c r="C62" s="171">
        <f>C61</f>
        <v>0</v>
      </c>
      <c r="D62" s="171">
        <f t="shared" ref="D62:P62" si="6">D61</f>
        <v>0</v>
      </c>
      <c r="E62" s="171">
        <f t="shared" si="6"/>
        <v>0</v>
      </c>
      <c r="F62" s="171">
        <f t="shared" si="6"/>
        <v>0</v>
      </c>
      <c r="G62" s="146">
        <v>0</v>
      </c>
      <c r="H62" s="171">
        <f t="shared" si="6"/>
        <v>1311</v>
      </c>
      <c r="I62" s="171">
        <f t="shared" si="6"/>
        <v>7259</v>
      </c>
      <c r="J62" s="171">
        <f t="shared" si="6"/>
        <v>0</v>
      </c>
      <c r="K62" s="171">
        <f t="shared" si="6"/>
        <v>308</v>
      </c>
      <c r="L62" s="146">
        <f t="shared" si="0"/>
        <v>4.243008678881389</v>
      </c>
      <c r="M62" s="171">
        <f t="shared" si="6"/>
        <v>8490</v>
      </c>
      <c r="N62" s="171">
        <f t="shared" si="6"/>
        <v>25152</v>
      </c>
      <c r="O62" s="171">
        <f t="shared" si="6"/>
        <v>0</v>
      </c>
      <c r="P62" s="171">
        <f t="shared" si="6"/>
        <v>2803</v>
      </c>
      <c r="Q62" s="146">
        <f t="shared" si="1"/>
        <v>11.144243002544529</v>
      </c>
    </row>
    <row r="63" spans="1:19" s="159" customFormat="1" x14ac:dyDescent="0.2">
      <c r="A63" s="287"/>
      <c r="B63" s="148" t="s">
        <v>411</v>
      </c>
      <c r="C63" s="171">
        <f>C62+C60+C56+C33</f>
        <v>1311</v>
      </c>
      <c r="D63" s="171">
        <f t="shared" ref="D63:P63" si="7">D62+D60+D56+D33</f>
        <v>42468</v>
      </c>
      <c r="E63" s="171">
        <f t="shared" si="7"/>
        <v>52</v>
      </c>
      <c r="F63" s="171">
        <f t="shared" si="7"/>
        <v>17474.940000000002</v>
      </c>
      <c r="G63" s="146">
        <f t="shared" si="2"/>
        <v>41.148488273523597</v>
      </c>
      <c r="H63" s="171">
        <f t="shared" si="7"/>
        <v>38937</v>
      </c>
      <c r="I63" s="171">
        <f t="shared" si="7"/>
        <v>143485</v>
      </c>
      <c r="J63" s="171">
        <f t="shared" si="7"/>
        <v>12896</v>
      </c>
      <c r="K63" s="171">
        <f t="shared" si="7"/>
        <v>18379.2</v>
      </c>
      <c r="L63" s="146">
        <f t="shared" si="0"/>
        <v>12.80914381294212</v>
      </c>
      <c r="M63" s="171">
        <f t="shared" si="7"/>
        <v>162521</v>
      </c>
      <c r="N63" s="171">
        <f t="shared" si="7"/>
        <v>594810</v>
      </c>
      <c r="O63" s="171">
        <f t="shared" si="7"/>
        <v>134798</v>
      </c>
      <c r="P63" s="171">
        <f t="shared" si="7"/>
        <v>178303.5</v>
      </c>
      <c r="Q63" s="146">
        <f t="shared" si="1"/>
        <v>29.976547132697835</v>
      </c>
    </row>
    <row r="64" spans="1:19" x14ac:dyDescent="0.2">
      <c r="A64" s="304"/>
    </row>
    <row r="65" spans="11:11" x14ac:dyDescent="0.2">
      <c r="K65" s="162">
        <f>ACP_NPS_12!P63</f>
        <v>7589.74</v>
      </c>
    </row>
    <row r="66" spans="11:11" x14ac:dyDescent="0.2">
      <c r="K66" s="162">
        <f>K63+K65</f>
        <v>25968.940000000002</v>
      </c>
    </row>
    <row r="67" spans="11:11" x14ac:dyDescent="0.2">
      <c r="K67" s="162">
        <f>K66/100</f>
        <v>259.68940000000003</v>
      </c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conditionalFormatting sqref="B6">
    <cfRule type="duplicateValues" dxfId="117" priority="4"/>
  </conditionalFormatting>
  <conditionalFormatting sqref="B22">
    <cfRule type="duplicateValues" dxfId="116" priority="5"/>
  </conditionalFormatting>
  <conditionalFormatting sqref="B33:B34 B26:B30">
    <cfRule type="duplicateValues" dxfId="115" priority="6"/>
  </conditionalFormatting>
  <conditionalFormatting sqref="B52">
    <cfRule type="duplicateValues" dxfId="114" priority="7"/>
  </conditionalFormatting>
  <conditionalFormatting sqref="B56">
    <cfRule type="duplicateValues" dxfId="113" priority="8"/>
  </conditionalFormatting>
  <conditionalFormatting sqref="B58">
    <cfRule type="duplicateValues" dxfId="112" priority="9"/>
  </conditionalFormatting>
  <conditionalFormatting sqref="G1:G1048576">
    <cfRule type="cellIs" dxfId="111" priority="3" stopIfTrue="1" operator="greaterThan">
      <formula>100</formula>
    </cfRule>
  </conditionalFormatting>
  <conditionalFormatting sqref="L1:L1048576">
    <cfRule type="cellIs" dxfId="110" priority="2" stopIfTrue="1" operator="greaterThan">
      <formula>100</formula>
    </cfRule>
  </conditionalFormatting>
  <conditionalFormatting sqref="Q1:Q1048576">
    <cfRule type="cellIs" dxfId="109" priority="1" stopIfTrue="1" operator="greaterThan">
      <formula>100</formula>
    </cfRule>
  </conditionalFormatting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0"/>
  <sheetViews>
    <sheetView zoomScaleNormal="100" workbookViewId="0">
      <pane xSplit="2" ySplit="5" topLeftCell="C63" activePane="bottomRight" state="frozen"/>
      <selection pane="topRight" activeCell="C1" sqref="C1"/>
      <selection pane="bottomLeft" activeCell="A6" sqref="A6"/>
      <selection pane="bottomRight" activeCell="P73" sqref="P73"/>
    </sheetView>
  </sheetViews>
  <sheetFormatPr defaultColWidth="4.42578125" defaultRowHeight="13.5" x14ac:dyDescent="0.2"/>
  <cols>
    <col min="1" max="1" width="4.42578125" style="71"/>
    <col min="2" max="2" width="21.85546875" style="71" bestFit="1" customWidth="1"/>
    <col min="3" max="4" width="10.140625" style="120" bestFit="1" customWidth="1"/>
    <col min="5" max="5" width="8" style="120" bestFit="1" customWidth="1"/>
    <col min="6" max="6" width="8.140625" style="120" customWidth="1"/>
    <col min="7" max="7" width="8.140625" style="118" customWidth="1"/>
    <col min="8" max="8" width="8" style="120" bestFit="1" customWidth="1"/>
    <col min="9" max="11" width="8.140625" style="120" customWidth="1"/>
    <col min="12" max="12" width="8.140625" style="118" customWidth="1"/>
    <col min="13" max="13" width="10.140625" style="120" bestFit="1" customWidth="1"/>
    <col min="14" max="14" width="8.140625" style="120" customWidth="1"/>
    <col min="15" max="15" width="11.28515625" style="120" bestFit="1" customWidth="1"/>
    <col min="16" max="16" width="12.5703125" style="120" bestFit="1" customWidth="1"/>
    <col min="17" max="17" width="11.5703125" style="121" bestFit="1" customWidth="1"/>
    <col min="18" max="18" width="11.28515625" style="121" bestFit="1" customWidth="1"/>
    <col min="19" max="19" width="8" style="118" customWidth="1"/>
    <col min="20" max="20" width="8" style="71" bestFit="1" customWidth="1"/>
    <col min="21" max="21" width="12" style="71" bestFit="1" customWidth="1"/>
    <col min="22" max="22" width="4.42578125" style="71"/>
    <col min="23" max="23" width="7" style="71" bestFit="1" customWidth="1"/>
    <col min="24" max="16384" width="4.42578125" style="71"/>
  </cols>
  <sheetData>
    <row r="1" spans="1:21" ht="18.75" x14ac:dyDescent="0.2">
      <c r="A1" s="426" t="s">
        <v>482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21" x14ac:dyDescent="0.2">
      <c r="B2" s="117" t="s">
        <v>135</v>
      </c>
      <c r="J2" s="120" t="s">
        <v>143</v>
      </c>
      <c r="N2" s="121" t="s">
        <v>167</v>
      </c>
      <c r="O2" s="121"/>
      <c r="P2" s="121"/>
    </row>
    <row r="3" spans="1:21" ht="35.1" customHeight="1" x14ac:dyDescent="0.2">
      <c r="A3" s="427" t="s">
        <v>121</v>
      </c>
      <c r="B3" s="427" t="s">
        <v>101</v>
      </c>
      <c r="C3" s="428" t="s">
        <v>35</v>
      </c>
      <c r="D3" s="428"/>
      <c r="E3" s="428"/>
      <c r="F3" s="428"/>
      <c r="G3" s="425" t="s">
        <v>159</v>
      </c>
      <c r="H3" s="428" t="s">
        <v>36</v>
      </c>
      <c r="I3" s="428"/>
      <c r="J3" s="428"/>
      <c r="K3" s="428"/>
      <c r="L3" s="425" t="s">
        <v>159</v>
      </c>
      <c r="M3" s="428" t="s">
        <v>54</v>
      </c>
      <c r="N3" s="428"/>
      <c r="O3" s="428" t="s">
        <v>55</v>
      </c>
      <c r="P3" s="428"/>
      <c r="Q3" s="428"/>
      <c r="R3" s="428"/>
      <c r="S3" s="425" t="s">
        <v>159</v>
      </c>
    </row>
    <row r="4" spans="1:21" ht="35.1" customHeight="1" x14ac:dyDescent="0.2">
      <c r="A4" s="427"/>
      <c r="B4" s="427"/>
      <c r="C4" s="428" t="s">
        <v>21</v>
      </c>
      <c r="D4" s="428"/>
      <c r="E4" s="428" t="s">
        <v>161</v>
      </c>
      <c r="F4" s="428"/>
      <c r="G4" s="425"/>
      <c r="H4" s="428" t="s">
        <v>21</v>
      </c>
      <c r="I4" s="428"/>
      <c r="J4" s="428" t="s">
        <v>161</v>
      </c>
      <c r="K4" s="428"/>
      <c r="L4" s="425"/>
      <c r="M4" s="428" t="s">
        <v>161</v>
      </c>
      <c r="N4" s="428"/>
      <c r="O4" s="428" t="s">
        <v>21</v>
      </c>
      <c r="P4" s="428"/>
      <c r="Q4" s="428" t="s">
        <v>161</v>
      </c>
      <c r="R4" s="428"/>
      <c r="S4" s="425"/>
    </row>
    <row r="5" spans="1:21" ht="35.1" customHeight="1" x14ac:dyDescent="0.2">
      <c r="A5" s="427"/>
      <c r="B5" s="427"/>
      <c r="C5" s="386" t="s">
        <v>125</v>
      </c>
      <c r="D5" s="386" t="s">
        <v>100</v>
      </c>
      <c r="E5" s="386" t="s">
        <v>125</v>
      </c>
      <c r="F5" s="386" t="s">
        <v>100</v>
      </c>
      <c r="G5" s="425"/>
      <c r="H5" s="386" t="s">
        <v>125</v>
      </c>
      <c r="I5" s="386" t="s">
        <v>100</v>
      </c>
      <c r="J5" s="386" t="s">
        <v>125</v>
      </c>
      <c r="K5" s="386" t="s">
        <v>100</v>
      </c>
      <c r="L5" s="425"/>
      <c r="M5" s="386" t="s">
        <v>125</v>
      </c>
      <c r="N5" s="386" t="s">
        <v>100</v>
      </c>
      <c r="O5" s="386" t="s">
        <v>125</v>
      </c>
      <c r="P5" s="386" t="s">
        <v>100</v>
      </c>
      <c r="Q5" s="386" t="s">
        <v>125</v>
      </c>
      <c r="R5" s="386" t="s">
        <v>100</v>
      </c>
      <c r="S5" s="425"/>
    </row>
    <row r="6" spans="1:21" x14ac:dyDescent="0.2">
      <c r="A6" s="65">
        <v>1</v>
      </c>
      <c r="B6" s="66" t="s">
        <v>56</v>
      </c>
      <c r="C6" s="108">
        <v>7516</v>
      </c>
      <c r="D6" s="108">
        <v>10181</v>
      </c>
      <c r="E6" s="108">
        <v>0</v>
      </c>
      <c r="F6" s="108">
        <v>0</v>
      </c>
      <c r="G6" s="109">
        <f>F6*100/D6</f>
        <v>0</v>
      </c>
      <c r="H6" s="108">
        <v>266</v>
      </c>
      <c r="I6" s="108">
        <v>1018</v>
      </c>
      <c r="J6" s="108">
        <v>0</v>
      </c>
      <c r="K6" s="108">
        <v>0</v>
      </c>
      <c r="L6" s="109">
        <f>K6*100/I6</f>
        <v>0</v>
      </c>
      <c r="M6" s="108">
        <v>758</v>
      </c>
      <c r="N6" s="108">
        <v>1224</v>
      </c>
      <c r="O6" s="108">
        <f>H6+C6+'ACP_PS_11(i)'!M6+'ACP_PS_11(i)'!H6+'ACP_PS_11(i)'!C6+ACP_MSME_10!C6+'ACP_Agri_9(ii)'!M6</f>
        <v>88570</v>
      </c>
      <c r="P6" s="108">
        <f>I6+D6+'ACP_PS_11(i)'!N6+'ACP_PS_11(i)'!I6+'ACP_PS_11(i)'!D6+ACP_MSME_10!D6+'ACP_Agri_9(ii)'!N6</f>
        <v>226643.06</v>
      </c>
      <c r="Q6" s="108">
        <f>M6+J6+E6+'ACP_PS_11(i)'!O6+'ACP_PS_11(i)'!J6+'ACP_PS_11(i)'!E6+ACP_MSME_10!O6+'ACP_Agri_9(ii)'!O6</f>
        <v>16516</v>
      </c>
      <c r="R6" s="108">
        <f>N6+K6+F6+'ACP_PS_11(i)'!P6+'ACP_PS_11(i)'!K6+'ACP_PS_11(i)'!F6+ACP_MSME_10!P6+'ACP_Agri_9(ii)'!P6</f>
        <v>42980.19</v>
      </c>
      <c r="S6" s="109">
        <f>R6*100/P6</f>
        <v>18.963823555859157</v>
      </c>
      <c r="T6" s="120"/>
      <c r="U6" s="120"/>
    </row>
    <row r="7" spans="1:21" x14ac:dyDescent="0.2">
      <c r="A7" s="65">
        <v>2</v>
      </c>
      <c r="B7" s="66" t="s">
        <v>57</v>
      </c>
      <c r="C7" s="108">
        <v>572</v>
      </c>
      <c r="D7" s="108">
        <v>915</v>
      </c>
      <c r="E7" s="108">
        <v>0</v>
      </c>
      <c r="F7" s="108">
        <v>0</v>
      </c>
      <c r="G7" s="109">
        <f t="shared" ref="G7:G63" si="0">F7*100/D7</f>
        <v>0</v>
      </c>
      <c r="H7" s="108">
        <v>128</v>
      </c>
      <c r="I7" s="108">
        <v>129</v>
      </c>
      <c r="J7" s="108">
        <v>0</v>
      </c>
      <c r="K7" s="108">
        <v>0</v>
      </c>
      <c r="L7" s="109">
        <f t="shared" ref="L7:L63" si="1">K7*100/I7</f>
        <v>0</v>
      </c>
      <c r="M7" s="108">
        <v>0</v>
      </c>
      <c r="N7" s="108">
        <v>0</v>
      </c>
      <c r="O7" s="108">
        <f>H7+C7+'ACP_PS_11(i)'!M7+'ACP_PS_11(i)'!H7+'ACP_PS_11(i)'!C7+ACP_MSME_10!C7+'ACP_Agri_9(ii)'!M7</f>
        <v>3891</v>
      </c>
      <c r="P7" s="108">
        <f>I7+D7+'ACP_PS_11(i)'!N7+'ACP_PS_11(i)'!I7+'ACP_PS_11(i)'!D7+ACP_MSME_10!D7+'ACP_Agri_9(ii)'!N7</f>
        <v>13014.33</v>
      </c>
      <c r="Q7" s="108">
        <f>M7+J7+E7+'ACP_PS_11(i)'!O7+'ACP_PS_11(i)'!J7+'ACP_PS_11(i)'!E7+ACP_MSME_10!O7+'ACP_Agri_9(ii)'!O7</f>
        <v>1603</v>
      </c>
      <c r="R7" s="108">
        <f>N7+K7+F7+'ACP_PS_11(i)'!P7+'ACP_PS_11(i)'!K7+'ACP_PS_11(i)'!F7+ACP_MSME_10!P7+'ACP_Agri_9(ii)'!P7</f>
        <v>6487.6200000000008</v>
      </c>
      <c r="S7" s="109">
        <f t="shared" ref="S7:S63" si="2">R7*100/P7</f>
        <v>49.849819391393957</v>
      </c>
      <c r="U7" s="120"/>
    </row>
    <row r="8" spans="1:21" x14ac:dyDescent="0.2">
      <c r="A8" s="65">
        <v>3</v>
      </c>
      <c r="B8" s="66" t="s">
        <v>58</v>
      </c>
      <c r="C8" s="108">
        <v>6078</v>
      </c>
      <c r="D8" s="108">
        <v>13058</v>
      </c>
      <c r="E8" s="108">
        <v>0</v>
      </c>
      <c r="F8" s="108">
        <v>0</v>
      </c>
      <c r="G8" s="109">
        <f t="shared" si="0"/>
        <v>0</v>
      </c>
      <c r="H8" s="108">
        <v>156</v>
      </c>
      <c r="I8" s="108">
        <v>872</v>
      </c>
      <c r="J8" s="108">
        <v>0</v>
      </c>
      <c r="K8" s="108">
        <v>0</v>
      </c>
      <c r="L8" s="109">
        <f t="shared" si="1"/>
        <v>0</v>
      </c>
      <c r="M8" s="108">
        <v>523</v>
      </c>
      <c r="N8" s="108">
        <v>3468.01</v>
      </c>
      <c r="O8" s="108">
        <f>H8+C8+'ACP_PS_11(i)'!M8+'ACP_PS_11(i)'!H8+'ACP_PS_11(i)'!C8+ACP_MSME_10!C8+'ACP_Agri_9(ii)'!M8</f>
        <v>63054</v>
      </c>
      <c r="P8" s="108">
        <f>I8+D8+'ACP_PS_11(i)'!N8+'ACP_PS_11(i)'!I8+'ACP_PS_11(i)'!D8+ACP_MSME_10!D8+'ACP_Agri_9(ii)'!N8</f>
        <v>208823.53999999998</v>
      </c>
      <c r="Q8" s="108">
        <f>M8+J8+E8+'ACP_PS_11(i)'!O8+'ACP_PS_11(i)'!J8+'ACP_PS_11(i)'!E8+ACP_MSME_10!O8+'ACP_Agri_9(ii)'!O8</f>
        <v>33846</v>
      </c>
      <c r="R8" s="108">
        <f>N8+K8+F8+'ACP_PS_11(i)'!P8+'ACP_PS_11(i)'!K8+'ACP_PS_11(i)'!F8+ACP_MSME_10!P8+'ACP_Agri_9(ii)'!P8</f>
        <v>108810.06</v>
      </c>
      <c r="S8" s="109">
        <f t="shared" si="2"/>
        <v>52.106223273487274</v>
      </c>
      <c r="U8" s="120"/>
    </row>
    <row r="9" spans="1:21" x14ac:dyDescent="0.2">
      <c r="A9" s="65">
        <v>4</v>
      </c>
      <c r="B9" s="66" t="s">
        <v>59</v>
      </c>
      <c r="C9" s="108">
        <v>7793</v>
      </c>
      <c r="D9" s="108">
        <v>15647</v>
      </c>
      <c r="E9" s="108">
        <v>0</v>
      </c>
      <c r="F9" s="108">
        <v>0</v>
      </c>
      <c r="G9" s="109">
        <f t="shared" si="0"/>
        <v>0</v>
      </c>
      <c r="H9" s="108">
        <v>284</v>
      </c>
      <c r="I9" s="108">
        <v>1342</v>
      </c>
      <c r="J9" s="108">
        <v>1</v>
      </c>
      <c r="K9" s="108">
        <v>5</v>
      </c>
      <c r="L9" s="109">
        <f t="shared" si="1"/>
        <v>0.37257824143070045</v>
      </c>
      <c r="M9" s="108">
        <v>195</v>
      </c>
      <c r="N9" s="108">
        <v>89</v>
      </c>
      <c r="O9" s="108">
        <f>H9+C9+'ACP_PS_11(i)'!M9+'ACP_PS_11(i)'!H9+'ACP_PS_11(i)'!C9+ACP_MSME_10!C9+'ACP_Agri_9(ii)'!M9</f>
        <v>215190</v>
      </c>
      <c r="P9" s="108">
        <f>I9+D9+'ACP_PS_11(i)'!N9+'ACP_PS_11(i)'!I9+'ACP_PS_11(i)'!D9+ACP_MSME_10!D9+'ACP_Agri_9(ii)'!N9</f>
        <v>890279.37</v>
      </c>
      <c r="Q9" s="108">
        <f>M9+J9+E9+'ACP_PS_11(i)'!O9+'ACP_PS_11(i)'!J9+'ACP_PS_11(i)'!E9+ACP_MSME_10!O9+'ACP_Agri_9(ii)'!O9</f>
        <v>668113</v>
      </c>
      <c r="R9" s="108">
        <f>N9+K9+F9+'ACP_PS_11(i)'!P9+'ACP_PS_11(i)'!K9+'ACP_PS_11(i)'!F9+ACP_MSME_10!P9+'ACP_Agri_9(ii)'!P9</f>
        <v>502496</v>
      </c>
      <c r="S9" s="109">
        <f t="shared" si="2"/>
        <v>56.442507479421884</v>
      </c>
      <c r="U9" s="120"/>
    </row>
    <row r="10" spans="1:21" x14ac:dyDescent="0.2">
      <c r="A10" s="65">
        <v>5</v>
      </c>
      <c r="B10" s="66" t="s">
        <v>60</v>
      </c>
      <c r="C10" s="108">
        <v>7832</v>
      </c>
      <c r="D10" s="108">
        <v>12758</v>
      </c>
      <c r="E10" s="108">
        <v>2</v>
      </c>
      <c r="F10" s="108">
        <v>14</v>
      </c>
      <c r="G10" s="109">
        <f t="shared" si="0"/>
        <v>0.10973506819250667</v>
      </c>
      <c r="H10" s="108">
        <v>40</v>
      </c>
      <c r="I10" s="108">
        <v>469</v>
      </c>
      <c r="J10" s="108">
        <v>0</v>
      </c>
      <c r="K10" s="108">
        <v>0</v>
      </c>
      <c r="L10" s="109">
        <f t="shared" si="1"/>
        <v>0</v>
      </c>
      <c r="M10" s="108">
        <v>40873</v>
      </c>
      <c r="N10" s="108">
        <v>30726</v>
      </c>
      <c r="O10" s="108">
        <f>H10+C10+'ACP_PS_11(i)'!M10+'ACP_PS_11(i)'!H10+'ACP_PS_11(i)'!C10+ACP_MSME_10!C10+'ACP_Agri_9(ii)'!M10</f>
        <v>66071</v>
      </c>
      <c r="P10" s="108">
        <f>I10+D10+'ACP_PS_11(i)'!N10+'ACP_PS_11(i)'!I10+'ACP_PS_11(i)'!D10+ACP_MSME_10!D10+'ACP_Agri_9(ii)'!N10</f>
        <v>200091.74</v>
      </c>
      <c r="Q10" s="108">
        <f>M10+J10+E10+'ACP_PS_11(i)'!O10+'ACP_PS_11(i)'!J10+'ACP_PS_11(i)'!E10+ACP_MSME_10!O10+'ACP_Agri_9(ii)'!O10</f>
        <v>66010</v>
      </c>
      <c r="R10" s="108">
        <f>N10+K10+F10+'ACP_PS_11(i)'!P10+'ACP_PS_11(i)'!K10+'ACP_PS_11(i)'!F10+ACP_MSME_10!P10+'ACP_Agri_9(ii)'!P10</f>
        <v>100030</v>
      </c>
      <c r="S10" s="109">
        <f t="shared" si="2"/>
        <v>49.992068638115697</v>
      </c>
      <c r="U10" s="120"/>
    </row>
    <row r="11" spans="1:21" x14ac:dyDescent="0.2">
      <c r="A11" s="65">
        <v>6</v>
      </c>
      <c r="B11" s="199" t="s">
        <v>244</v>
      </c>
      <c r="C11" s="108">
        <v>0</v>
      </c>
      <c r="D11" s="108">
        <v>0</v>
      </c>
      <c r="E11" s="108">
        <v>0</v>
      </c>
      <c r="F11" s="108">
        <v>0</v>
      </c>
      <c r="G11" s="109">
        <v>0</v>
      </c>
      <c r="H11" s="108">
        <v>0</v>
      </c>
      <c r="I11" s="108">
        <v>0</v>
      </c>
      <c r="J11" s="108">
        <v>0</v>
      </c>
      <c r="K11" s="108">
        <v>0</v>
      </c>
      <c r="L11" s="109">
        <v>0</v>
      </c>
      <c r="M11" s="108">
        <v>0</v>
      </c>
      <c r="N11" s="108">
        <v>0</v>
      </c>
      <c r="O11" s="108">
        <f>H11+C11+'ACP_PS_11(i)'!M11+'ACP_PS_11(i)'!H11+'ACP_PS_11(i)'!C11+ACP_MSME_10!C11+'ACP_Agri_9(ii)'!M11</f>
        <v>441</v>
      </c>
      <c r="P11" s="108">
        <f>I11+D11+'ACP_PS_11(i)'!N11+'ACP_PS_11(i)'!I11+'ACP_PS_11(i)'!D11+ACP_MSME_10!D11+'ACP_Agri_9(ii)'!N11</f>
        <v>1337</v>
      </c>
      <c r="Q11" s="108">
        <f>M11+J11+E11+'ACP_PS_11(i)'!O11+'ACP_PS_11(i)'!J11+'ACP_PS_11(i)'!E11+ACP_MSME_10!O11+'ACP_Agri_9(ii)'!O11</f>
        <v>147</v>
      </c>
      <c r="R11" s="108">
        <f>N11+K11+F11+'ACP_PS_11(i)'!P11+'ACP_PS_11(i)'!K11+'ACP_PS_11(i)'!F11+ACP_MSME_10!P11+'ACP_Agri_9(ii)'!P11</f>
        <v>239.22</v>
      </c>
      <c r="S11" s="109">
        <f t="shared" si="2"/>
        <v>17.892296185489904</v>
      </c>
      <c r="U11" s="120"/>
    </row>
    <row r="12" spans="1:21" x14ac:dyDescent="0.2">
      <c r="A12" s="65">
        <v>7</v>
      </c>
      <c r="B12" s="66" t="s">
        <v>61</v>
      </c>
      <c r="C12" s="108">
        <v>3016</v>
      </c>
      <c r="D12" s="108">
        <v>5862</v>
      </c>
      <c r="E12" s="108">
        <v>0</v>
      </c>
      <c r="F12" s="108">
        <v>0</v>
      </c>
      <c r="G12" s="109">
        <f t="shared" si="0"/>
        <v>0</v>
      </c>
      <c r="H12" s="108">
        <v>27</v>
      </c>
      <c r="I12" s="108">
        <v>523</v>
      </c>
      <c r="J12" s="108">
        <v>0</v>
      </c>
      <c r="K12" s="108">
        <v>0</v>
      </c>
      <c r="L12" s="109">
        <f t="shared" si="1"/>
        <v>0</v>
      </c>
      <c r="M12" s="108">
        <v>2805</v>
      </c>
      <c r="N12" s="108">
        <v>203</v>
      </c>
      <c r="O12" s="108">
        <f>H12+C12+'ACP_PS_11(i)'!M12+'ACP_PS_11(i)'!H12+'ACP_PS_11(i)'!C12+ACP_MSME_10!C12+'ACP_Agri_9(ii)'!M12</f>
        <v>34652</v>
      </c>
      <c r="P12" s="108">
        <f>I12+D12+'ACP_PS_11(i)'!N12+'ACP_PS_11(i)'!I12+'ACP_PS_11(i)'!D12+ACP_MSME_10!D12+'ACP_Agri_9(ii)'!N12</f>
        <v>103548.68</v>
      </c>
      <c r="Q12" s="108">
        <f>M12+J12+E12+'ACP_PS_11(i)'!O12+'ACP_PS_11(i)'!J12+'ACP_PS_11(i)'!E12+ACP_MSME_10!O12+'ACP_Agri_9(ii)'!O12</f>
        <v>23975</v>
      </c>
      <c r="R12" s="108">
        <f>N12+K12+F12+'ACP_PS_11(i)'!P12+'ACP_PS_11(i)'!K12+'ACP_PS_11(i)'!F12+ACP_MSME_10!P12+'ACP_Agri_9(ii)'!P12</f>
        <v>41255</v>
      </c>
      <c r="S12" s="109">
        <f t="shared" si="2"/>
        <v>39.841164561441055</v>
      </c>
      <c r="U12" s="120"/>
    </row>
    <row r="13" spans="1:21" x14ac:dyDescent="0.2">
      <c r="A13" s="65">
        <v>8</v>
      </c>
      <c r="B13" s="66" t="s">
        <v>62</v>
      </c>
      <c r="C13" s="108">
        <v>21930</v>
      </c>
      <c r="D13" s="108">
        <v>39983</v>
      </c>
      <c r="E13" s="108">
        <v>0</v>
      </c>
      <c r="F13" s="108">
        <v>0</v>
      </c>
      <c r="G13" s="109">
        <f t="shared" si="0"/>
        <v>0</v>
      </c>
      <c r="H13" s="108">
        <f>314+325</f>
        <v>639</v>
      </c>
      <c r="I13" s="108">
        <f>1205+1581</f>
        <v>2786</v>
      </c>
      <c r="J13" s="108">
        <v>0</v>
      </c>
      <c r="K13" s="108">
        <v>0</v>
      </c>
      <c r="L13" s="109">
        <f t="shared" si="1"/>
        <v>0</v>
      </c>
      <c r="M13" s="108">
        <v>0</v>
      </c>
      <c r="N13" s="108">
        <v>0</v>
      </c>
      <c r="O13" s="108">
        <f>H13+C13+'ACP_PS_11(i)'!M13+'ACP_PS_11(i)'!H13+'ACP_PS_11(i)'!C13+ACP_MSME_10!C13+'ACP_Agri_9(ii)'!M13</f>
        <v>263748</v>
      </c>
      <c r="P13" s="108">
        <f>I13+D13+'ACP_PS_11(i)'!N13+'ACP_PS_11(i)'!I13+'ACP_PS_11(i)'!D13+ACP_MSME_10!D13+'ACP_Agri_9(ii)'!N13</f>
        <v>786162.85</v>
      </c>
      <c r="Q13" s="108">
        <f>M13+J13+E13+'ACP_PS_11(i)'!O13+'ACP_PS_11(i)'!J13+'ACP_PS_11(i)'!E13+ACP_MSME_10!O13+'ACP_Agri_9(ii)'!O13</f>
        <v>97575</v>
      </c>
      <c r="R13" s="108">
        <f>N13+K13+F13+'ACP_PS_11(i)'!P13+'ACP_PS_11(i)'!K13+'ACP_PS_11(i)'!F13+ACP_MSME_10!P13+'ACP_Agri_9(ii)'!P13</f>
        <v>332123</v>
      </c>
      <c r="S13" s="109">
        <f t="shared" si="2"/>
        <v>42.246081711950652</v>
      </c>
      <c r="U13" s="120"/>
    </row>
    <row r="14" spans="1:21" x14ac:dyDescent="0.2">
      <c r="A14" s="65">
        <v>9</v>
      </c>
      <c r="B14" s="66" t="s">
        <v>49</v>
      </c>
      <c r="C14" s="108">
        <v>1564</v>
      </c>
      <c r="D14" s="108">
        <v>2540</v>
      </c>
      <c r="E14" s="108">
        <v>0</v>
      </c>
      <c r="F14" s="108">
        <v>0</v>
      </c>
      <c r="G14" s="109">
        <f t="shared" si="0"/>
        <v>0</v>
      </c>
      <c r="H14" s="108">
        <v>114</v>
      </c>
      <c r="I14" s="108">
        <v>218</v>
      </c>
      <c r="J14" s="108">
        <v>0</v>
      </c>
      <c r="K14" s="108">
        <v>0</v>
      </c>
      <c r="L14" s="109">
        <f t="shared" si="1"/>
        <v>0</v>
      </c>
      <c r="M14" s="108">
        <v>8510</v>
      </c>
      <c r="N14" s="108">
        <v>882</v>
      </c>
      <c r="O14" s="108">
        <f>H14+C14+'ACP_PS_11(i)'!M14+'ACP_PS_11(i)'!H14+'ACP_PS_11(i)'!C14+ACP_MSME_10!C14+'ACP_Agri_9(ii)'!M14</f>
        <v>9905</v>
      </c>
      <c r="P14" s="108">
        <f>I14+D14+'ACP_PS_11(i)'!N14+'ACP_PS_11(i)'!I14+'ACP_PS_11(i)'!D14+ACP_MSME_10!D14+'ACP_Agri_9(ii)'!N14</f>
        <v>32056.1</v>
      </c>
      <c r="Q14" s="108">
        <f>M14+J14+E14+'ACP_PS_11(i)'!O14+'ACP_PS_11(i)'!J14+'ACP_PS_11(i)'!E14+ACP_MSME_10!O14+'ACP_Agri_9(ii)'!O14</f>
        <v>30568</v>
      </c>
      <c r="R14" s="108">
        <f>N14+K14+F14+'ACP_PS_11(i)'!P14+'ACP_PS_11(i)'!K14+'ACP_PS_11(i)'!F14+ACP_MSME_10!P14+'ACP_Agri_9(ii)'!P14</f>
        <v>118488</v>
      </c>
      <c r="S14" s="109">
        <f t="shared" si="2"/>
        <v>369.62699766971031</v>
      </c>
      <c r="U14" s="120"/>
    </row>
    <row r="15" spans="1:21" x14ac:dyDescent="0.2">
      <c r="A15" s="65">
        <v>10</v>
      </c>
      <c r="B15" s="66" t="s">
        <v>50</v>
      </c>
      <c r="C15" s="108">
        <v>1890</v>
      </c>
      <c r="D15" s="108">
        <v>4009</v>
      </c>
      <c r="E15" s="108">
        <v>0</v>
      </c>
      <c r="F15" s="108">
        <v>0</v>
      </c>
      <c r="G15" s="109">
        <f t="shared" si="0"/>
        <v>0</v>
      </c>
      <c r="H15" s="108">
        <v>115</v>
      </c>
      <c r="I15" s="108">
        <v>255</v>
      </c>
      <c r="J15" s="108">
        <v>0</v>
      </c>
      <c r="K15" s="108">
        <v>0</v>
      </c>
      <c r="L15" s="109">
        <f t="shared" si="1"/>
        <v>0</v>
      </c>
      <c r="M15" s="108">
        <v>3</v>
      </c>
      <c r="N15" s="108">
        <v>1</v>
      </c>
      <c r="O15" s="108">
        <f>H15+C15+'ACP_PS_11(i)'!M15+'ACP_PS_11(i)'!H15+'ACP_PS_11(i)'!C15+ACP_MSME_10!C15+'ACP_Agri_9(ii)'!M15</f>
        <v>20519</v>
      </c>
      <c r="P15" s="108">
        <f>I15+D15+'ACP_PS_11(i)'!N15+'ACP_PS_11(i)'!I15+'ACP_PS_11(i)'!D15+ACP_MSME_10!D15+'ACP_Agri_9(ii)'!N15</f>
        <v>72026.34</v>
      </c>
      <c r="Q15" s="108">
        <f>M15+J15+E15+'ACP_PS_11(i)'!O15+'ACP_PS_11(i)'!J15+'ACP_PS_11(i)'!E15+ACP_MSME_10!O15+'ACP_Agri_9(ii)'!O15</f>
        <v>3122</v>
      </c>
      <c r="R15" s="108">
        <f>N15+K15+F15+'ACP_PS_11(i)'!P15+'ACP_PS_11(i)'!K15+'ACP_PS_11(i)'!F15+ACP_MSME_10!P15+'ACP_Agri_9(ii)'!P15</f>
        <v>16861</v>
      </c>
      <c r="S15" s="109">
        <f t="shared" si="2"/>
        <v>23.409491583218028</v>
      </c>
      <c r="U15" s="120"/>
    </row>
    <row r="16" spans="1:21" x14ac:dyDescent="0.2">
      <c r="A16" s="65">
        <v>11</v>
      </c>
      <c r="B16" s="66" t="s">
        <v>82</v>
      </c>
      <c r="C16" s="108">
        <v>1000</v>
      </c>
      <c r="D16" s="108">
        <v>1847</v>
      </c>
      <c r="E16" s="108">
        <v>9</v>
      </c>
      <c r="F16" s="108">
        <v>20</v>
      </c>
      <c r="G16" s="109">
        <f t="shared" si="0"/>
        <v>1.0828370330265296</v>
      </c>
      <c r="H16" s="108">
        <v>85</v>
      </c>
      <c r="I16" s="108">
        <v>164</v>
      </c>
      <c r="J16" s="108">
        <v>0</v>
      </c>
      <c r="K16" s="108">
        <v>0</v>
      </c>
      <c r="L16" s="109">
        <f t="shared" si="1"/>
        <v>0</v>
      </c>
      <c r="M16" s="108">
        <v>0</v>
      </c>
      <c r="N16" s="108">
        <v>0</v>
      </c>
      <c r="O16" s="108">
        <f>H16+C16+'ACP_PS_11(i)'!M16+'ACP_PS_11(i)'!H16+'ACP_PS_11(i)'!C16+ACP_MSME_10!C16+'ACP_Agri_9(ii)'!M16</f>
        <v>15704</v>
      </c>
      <c r="P16" s="108">
        <f>I16+D16+'ACP_PS_11(i)'!N16+'ACP_PS_11(i)'!I16+'ACP_PS_11(i)'!D16+ACP_MSME_10!D16+'ACP_Agri_9(ii)'!N16</f>
        <v>50785.94</v>
      </c>
      <c r="Q16" s="108">
        <f>M16+J16+E16+'ACP_PS_11(i)'!O16+'ACP_PS_11(i)'!J16+'ACP_PS_11(i)'!E16+ACP_MSME_10!O16+'ACP_Agri_9(ii)'!O16</f>
        <v>21786</v>
      </c>
      <c r="R16" s="108">
        <f>N16+K16+F16+'ACP_PS_11(i)'!P16+'ACP_PS_11(i)'!K16+'ACP_PS_11(i)'!F16+ACP_MSME_10!P16+'ACP_Agri_9(ii)'!P16</f>
        <v>80895</v>
      </c>
      <c r="S16" s="109">
        <f t="shared" si="2"/>
        <v>159.2862118925041</v>
      </c>
      <c r="T16" s="120"/>
      <c r="U16" s="120"/>
    </row>
    <row r="17" spans="1:21" x14ac:dyDescent="0.2">
      <c r="A17" s="65">
        <v>12</v>
      </c>
      <c r="B17" s="66" t="s">
        <v>63</v>
      </c>
      <c r="C17" s="108">
        <v>654</v>
      </c>
      <c r="D17" s="108">
        <v>1068</v>
      </c>
      <c r="E17" s="108">
        <v>0</v>
      </c>
      <c r="F17" s="108">
        <v>0</v>
      </c>
      <c r="G17" s="109">
        <f t="shared" si="0"/>
        <v>0</v>
      </c>
      <c r="H17" s="108">
        <v>86</v>
      </c>
      <c r="I17" s="108">
        <v>117</v>
      </c>
      <c r="J17" s="108">
        <v>0</v>
      </c>
      <c r="K17" s="108">
        <v>0</v>
      </c>
      <c r="L17" s="109">
        <f t="shared" si="1"/>
        <v>0</v>
      </c>
      <c r="M17" s="108">
        <v>0</v>
      </c>
      <c r="N17" s="108">
        <v>0</v>
      </c>
      <c r="O17" s="108">
        <f>H17+C17+'ACP_PS_11(i)'!M17+'ACP_PS_11(i)'!H17+'ACP_PS_11(i)'!C17+ACP_MSME_10!C17+'ACP_Agri_9(ii)'!M17</f>
        <v>6884</v>
      </c>
      <c r="P17" s="108">
        <f>I17+D17+'ACP_PS_11(i)'!N17+'ACP_PS_11(i)'!I17+'ACP_PS_11(i)'!D17+ACP_MSME_10!D17+'ACP_Agri_9(ii)'!N17</f>
        <v>23895.65</v>
      </c>
      <c r="Q17" s="108">
        <f>M17+J17+E17+'ACP_PS_11(i)'!O17+'ACP_PS_11(i)'!J17+'ACP_PS_11(i)'!E17+ACP_MSME_10!O17+'ACP_Agri_9(ii)'!O17</f>
        <v>7425</v>
      </c>
      <c r="R17" s="108">
        <f>N17+K17+F17+'ACP_PS_11(i)'!P17+'ACP_PS_11(i)'!K17+'ACP_PS_11(i)'!F17+ACP_MSME_10!P17+'ACP_Agri_9(ii)'!P17</f>
        <v>19750.88</v>
      </c>
      <c r="S17" s="109">
        <f t="shared" si="2"/>
        <v>82.654709120697689</v>
      </c>
      <c r="U17" s="120"/>
    </row>
    <row r="18" spans="1:21" x14ac:dyDescent="0.2">
      <c r="A18" s="65">
        <v>13</v>
      </c>
      <c r="B18" s="66" t="s">
        <v>64</v>
      </c>
      <c r="C18" s="108">
        <v>1626</v>
      </c>
      <c r="D18" s="108">
        <v>2975</v>
      </c>
      <c r="E18" s="108">
        <v>0</v>
      </c>
      <c r="F18" s="108">
        <v>0</v>
      </c>
      <c r="G18" s="109">
        <f t="shared" si="0"/>
        <v>0</v>
      </c>
      <c r="H18" s="108">
        <v>75</v>
      </c>
      <c r="I18" s="108">
        <v>176</v>
      </c>
      <c r="J18" s="108">
        <v>0</v>
      </c>
      <c r="K18" s="108">
        <v>0</v>
      </c>
      <c r="L18" s="109">
        <f t="shared" si="1"/>
        <v>0</v>
      </c>
      <c r="M18" s="108">
        <v>677</v>
      </c>
      <c r="N18" s="108">
        <v>3597</v>
      </c>
      <c r="O18" s="108">
        <f>H18+C18+'ACP_PS_11(i)'!M18+'ACP_PS_11(i)'!H18+'ACP_PS_11(i)'!C18+ACP_MSME_10!C18+'ACP_Agri_9(ii)'!M18</f>
        <v>8866</v>
      </c>
      <c r="P18" s="108">
        <f>I18+D18+'ACP_PS_11(i)'!N18+'ACP_PS_11(i)'!I18+'ACP_PS_11(i)'!D18+ACP_MSME_10!D18+'ACP_Agri_9(ii)'!N18</f>
        <v>28005.43</v>
      </c>
      <c r="Q18" s="108">
        <f>M18+J18+E18+'ACP_PS_11(i)'!O18+'ACP_PS_11(i)'!J18+'ACP_PS_11(i)'!E18+ACP_MSME_10!O18+'ACP_Agri_9(ii)'!O18</f>
        <v>3822</v>
      </c>
      <c r="R18" s="108">
        <f>N18+K18+F18+'ACP_PS_11(i)'!P18+'ACP_PS_11(i)'!K18+'ACP_PS_11(i)'!F18+ACP_MSME_10!P18+'ACP_Agri_9(ii)'!P18</f>
        <v>15490</v>
      </c>
      <c r="S18" s="109">
        <f t="shared" si="2"/>
        <v>55.310702245957302</v>
      </c>
      <c r="U18" s="120"/>
    </row>
    <row r="19" spans="1:21" x14ac:dyDescent="0.2">
      <c r="A19" s="65">
        <v>14</v>
      </c>
      <c r="B19" s="100" t="s">
        <v>208</v>
      </c>
      <c r="C19" s="108">
        <v>3880</v>
      </c>
      <c r="D19" s="108">
        <v>6793</v>
      </c>
      <c r="E19" s="108">
        <v>104</v>
      </c>
      <c r="F19" s="108">
        <v>266.45</v>
      </c>
      <c r="G19" s="109">
        <f t="shared" si="0"/>
        <v>3.9224201383777419</v>
      </c>
      <c r="H19" s="108">
        <v>66</v>
      </c>
      <c r="I19" s="108">
        <v>663</v>
      </c>
      <c r="J19" s="108">
        <v>0</v>
      </c>
      <c r="K19" s="108">
        <v>0</v>
      </c>
      <c r="L19" s="109">
        <f t="shared" si="1"/>
        <v>0</v>
      </c>
      <c r="M19" s="108">
        <v>18</v>
      </c>
      <c r="N19" s="108">
        <v>2.5</v>
      </c>
      <c r="O19" s="108">
        <f>H19+C19+'ACP_PS_11(i)'!M19+'ACP_PS_11(i)'!H19+'ACP_PS_11(i)'!C19+ACP_MSME_10!C19+'ACP_Agri_9(ii)'!M19</f>
        <v>27237</v>
      </c>
      <c r="P19" s="108">
        <f>I19+D19+'ACP_PS_11(i)'!N19+'ACP_PS_11(i)'!I19+'ACP_PS_11(i)'!D19+ACP_MSME_10!D19+'ACP_Agri_9(ii)'!N19</f>
        <v>89997.09</v>
      </c>
      <c r="Q19" s="108">
        <f>M19+J19+E19+'ACP_PS_11(i)'!O19+'ACP_PS_11(i)'!J19+'ACP_PS_11(i)'!E19+ACP_MSME_10!O19+'ACP_Agri_9(ii)'!O19</f>
        <v>5547</v>
      </c>
      <c r="R19" s="108">
        <f>N19+K19+F19+'ACP_PS_11(i)'!P19+'ACP_PS_11(i)'!K19+'ACP_PS_11(i)'!F19+ACP_MSME_10!P19+'ACP_Agri_9(ii)'!P19</f>
        <v>22270.53</v>
      </c>
      <c r="S19" s="109">
        <f t="shared" si="2"/>
        <v>24.745833448614839</v>
      </c>
      <c r="U19" s="120"/>
    </row>
    <row r="20" spans="1:21" x14ac:dyDescent="0.2">
      <c r="A20" s="65">
        <v>15</v>
      </c>
      <c r="B20" s="66" t="s">
        <v>209</v>
      </c>
      <c r="C20" s="108">
        <v>2482</v>
      </c>
      <c r="D20" s="108">
        <v>3988</v>
      </c>
      <c r="E20" s="108">
        <v>0</v>
      </c>
      <c r="F20" s="108">
        <v>0</v>
      </c>
      <c r="G20" s="109">
        <f t="shared" si="0"/>
        <v>0</v>
      </c>
      <c r="H20" s="108">
        <v>28</v>
      </c>
      <c r="I20" s="108">
        <v>221</v>
      </c>
      <c r="J20" s="108">
        <v>0</v>
      </c>
      <c r="K20" s="108">
        <v>0</v>
      </c>
      <c r="L20" s="109">
        <f t="shared" si="1"/>
        <v>0</v>
      </c>
      <c r="M20" s="108">
        <v>1031</v>
      </c>
      <c r="N20" s="108">
        <v>138709.65</v>
      </c>
      <c r="O20" s="108">
        <f>H20+C20+'ACP_PS_11(i)'!M20+'ACP_PS_11(i)'!H20+'ACP_PS_11(i)'!C20+ACP_MSME_10!C20+'ACP_Agri_9(ii)'!M20</f>
        <v>12553</v>
      </c>
      <c r="P20" s="108">
        <f>I20+D20+'ACP_PS_11(i)'!N20+'ACP_PS_11(i)'!I20+'ACP_PS_11(i)'!D20+ACP_MSME_10!D20+'ACP_Agri_9(ii)'!N20</f>
        <v>40126.1</v>
      </c>
      <c r="Q20" s="108">
        <f>M20+J20+E20+'ACP_PS_11(i)'!O20+'ACP_PS_11(i)'!J20+'ACP_PS_11(i)'!E20+ACP_MSME_10!O20+'ACP_Agri_9(ii)'!O20</f>
        <v>2027</v>
      </c>
      <c r="R20" s="108">
        <f>N20+K20+F20+'ACP_PS_11(i)'!P20+'ACP_PS_11(i)'!K20+'ACP_PS_11(i)'!F20+ACP_MSME_10!P20+'ACP_Agri_9(ii)'!P20</f>
        <v>143435.71</v>
      </c>
      <c r="S20" s="109">
        <f t="shared" si="2"/>
        <v>357.46237486324361</v>
      </c>
      <c r="U20" s="120"/>
    </row>
    <row r="21" spans="1:21" x14ac:dyDescent="0.2">
      <c r="A21" s="65">
        <v>16</v>
      </c>
      <c r="B21" s="66" t="s">
        <v>65</v>
      </c>
      <c r="C21" s="108">
        <v>12110</v>
      </c>
      <c r="D21" s="108">
        <v>24489</v>
      </c>
      <c r="E21" s="108">
        <v>3</v>
      </c>
      <c r="F21" s="108">
        <v>38</v>
      </c>
      <c r="G21" s="109">
        <f t="shared" si="0"/>
        <v>0.15517170974723346</v>
      </c>
      <c r="H21" s="108">
        <v>329</v>
      </c>
      <c r="I21" s="108">
        <v>2421</v>
      </c>
      <c r="J21" s="108">
        <v>0</v>
      </c>
      <c r="K21" s="108">
        <v>0</v>
      </c>
      <c r="L21" s="109">
        <f t="shared" si="1"/>
        <v>0</v>
      </c>
      <c r="M21" s="108">
        <v>608</v>
      </c>
      <c r="N21" s="108">
        <v>209.86</v>
      </c>
      <c r="O21" s="108">
        <f>H21+C21+'ACP_PS_11(i)'!M21+'ACP_PS_11(i)'!H21+'ACP_PS_11(i)'!C21+ACP_MSME_10!C21+'ACP_Agri_9(ii)'!M21</f>
        <v>139577</v>
      </c>
      <c r="P21" s="108">
        <f>I21+D21+'ACP_PS_11(i)'!N21+'ACP_PS_11(i)'!I21+'ACP_PS_11(i)'!D21+ACP_MSME_10!D21+'ACP_Agri_9(ii)'!N21</f>
        <v>490182.81</v>
      </c>
      <c r="Q21" s="108">
        <f>M21+J21+E21+'ACP_PS_11(i)'!O21+'ACP_PS_11(i)'!J21+'ACP_PS_11(i)'!E21+ACP_MSME_10!O21+'ACP_Agri_9(ii)'!O21</f>
        <v>95528</v>
      </c>
      <c r="R21" s="108">
        <f>N21+K21+F21+'ACP_PS_11(i)'!P21+'ACP_PS_11(i)'!K21+'ACP_PS_11(i)'!F21+ACP_MSME_10!P21+'ACP_Agri_9(ii)'!P21</f>
        <v>354251.86</v>
      </c>
      <c r="S21" s="109">
        <f t="shared" si="2"/>
        <v>72.269335597468213</v>
      </c>
      <c r="U21" s="120"/>
    </row>
    <row r="22" spans="1:21" x14ac:dyDescent="0.2">
      <c r="A22" s="65">
        <v>17</v>
      </c>
      <c r="B22" s="100" t="s">
        <v>70</v>
      </c>
      <c r="C22" s="108">
        <v>708</v>
      </c>
      <c r="D22" s="108">
        <v>1554</v>
      </c>
      <c r="E22" s="108">
        <v>0</v>
      </c>
      <c r="F22" s="108">
        <v>0</v>
      </c>
      <c r="G22" s="109">
        <f t="shared" si="0"/>
        <v>0</v>
      </c>
      <c r="H22" s="108">
        <v>4</v>
      </c>
      <c r="I22" s="108">
        <v>67</v>
      </c>
      <c r="J22" s="108">
        <v>0</v>
      </c>
      <c r="K22" s="108">
        <v>0</v>
      </c>
      <c r="L22" s="109">
        <f t="shared" si="1"/>
        <v>0</v>
      </c>
      <c r="M22" s="108">
        <v>0</v>
      </c>
      <c r="N22" s="108">
        <v>0</v>
      </c>
      <c r="O22" s="108">
        <f>H22+C22+'ACP_PS_11(i)'!M22+'ACP_PS_11(i)'!H22+'ACP_PS_11(i)'!C22+ACP_MSME_10!C22+'ACP_Agri_9(ii)'!M22</f>
        <v>1524</v>
      </c>
      <c r="P22" s="108">
        <f>I22+D22+'ACP_PS_11(i)'!N22+'ACP_PS_11(i)'!I22+'ACP_PS_11(i)'!D22+ACP_MSME_10!D22+'ACP_Agri_9(ii)'!N22</f>
        <v>5393.17</v>
      </c>
      <c r="Q22" s="108">
        <f>M22+J22+E22+'ACP_PS_11(i)'!O22+'ACP_PS_11(i)'!J22+'ACP_PS_11(i)'!E22+ACP_MSME_10!O22+'ACP_Agri_9(ii)'!O22</f>
        <v>71</v>
      </c>
      <c r="R22" s="108">
        <f>N22+K22+F22+'ACP_PS_11(i)'!P22+'ACP_PS_11(i)'!K22+'ACP_PS_11(i)'!F22+ACP_MSME_10!P22+'ACP_Agri_9(ii)'!P22</f>
        <v>972.34</v>
      </c>
      <c r="S22" s="109">
        <f t="shared" si="2"/>
        <v>18.029099768781624</v>
      </c>
      <c r="U22" s="120"/>
    </row>
    <row r="23" spans="1:21" x14ac:dyDescent="0.2">
      <c r="A23" s="65">
        <v>18</v>
      </c>
      <c r="B23" s="66" t="s">
        <v>210</v>
      </c>
      <c r="C23" s="108">
        <v>82</v>
      </c>
      <c r="D23" s="108">
        <v>223</v>
      </c>
      <c r="E23" s="108">
        <v>0</v>
      </c>
      <c r="F23" s="108">
        <v>0</v>
      </c>
      <c r="G23" s="109">
        <f t="shared" si="0"/>
        <v>0</v>
      </c>
      <c r="H23" s="108">
        <v>2</v>
      </c>
      <c r="I23" s="108">
        <v>37</v>
      </c>
      <c r="J23" s="108">
        <v>0</v>
      </c>
      <c r="K23" s="108">
        <v>0</v>
      </c>
      <c r="L23" s="109">
        <f t="shared" si="1"/>
        <v>0</v>
      </c>
      <c r="M23" s="108">
        <v>0</v>
      </c>
      <c r="N23" s="108">
        <v>0</v>
      </c>
      <c r="O23" s="108">
        <f>H23+C23+'ACP_PS_11(i)'!M23+'ACP_PS_11(i)'!H23+'ACP_PS_11(i)'!C23+ACP_MSME_10!C23+'ACP_Agri_9(ii)'!M23</f>
        <v>635</v>
      </c>
      <c r="P23" s="108">
        <f>I23+D23+'ACP_PS_11(i)'!N23+'ACP_PS_11(i)'!I23+'ACP_PS_11(i)'!D23+ACP_MSME_10!D23+'ACP_Agri_9(ii)'!N23</f>
        <v>2746.06</v>
      </c>
      <c r="Q23" s="108">
        <f>M23+J23+E23+'ACP_PS_11(i)'!O23+'ACP_PS_11(i)'!J23+'ACP_PS_11(i)'!E23+ACP_MSME_10!O23+'ACP_Agri_9(ii)'!O23</f>
        <v>0</v>
      </c>
      <c r="R23" s="108">
        <f>N23+K23+F23+'ACP_PS_11(i)'!P23+'ACP_PS_11(i)'!K23+'ACP_PS_11(i)'!F23+ACP_MSME_10!P23+'ACP_Agri_9(ii)'!P23</f>
        <v>0</v>
      </c>
      <c r="S23" s="109">
        <f t="shared" si="2"/>
        <v>0</v>
      </c>
      <c r="U23" s="120"/>
    </row>
    <row r="24" spans="1:21" x14ac:dyDescent="0.2">
      <c r="A24" s="65">
        <v>19</v>
      </c>
      <c r="B24" s="101" t="s">
        <v>211</v>
      </c>
      <c r="C24" s="108">
        <v>357</v>
      </c>
      <c r="D24" s="108">
        <v>557</v>
      </c>
      <c r="E24" s="108">
        <v>0</v>
      </c>
      <c r="F24" s="108">
        <v>0</v>
      </c>
      <c r="G24" s="109">
        <f t="shared" si="0"/>
        <v>0</v>
      </c>
      <c r="H24" s="108">
        <v>4</v>
      </c>
      <c r="I24" s="108">
        <v>86</v>
      </c>
      <c r="J24" s="108">
        <v>0</v>
      </c>
      <c r="K24" s="108">
        <v>0</v>
      </c>
      <c r="L24" s="109">
        <f t="shared" si="1"/>
        <v>0</v>
      </c>
      <c r="M24" s="108">
        <v>48</v>
      </c>
      <c r="N24" s="108">
        <v>360.65</v>
      </c>
      <c r="O24" s="108">
        <f>H24+C24+'ACP_PS_11(i)'!M24+'ACP_PS_11(i)'!H24+'ACP_PS_11(i)'!C24+ACP_MSME_10!C24+'ACP_Agri_9(ii)'!M24</f>
        <v>2112</v>
      </c>
      <c r="P24" s="108">
        <f>I24+D24+'ACP_PS_11(i)'!N24+'ACP_PS_11(i)'!I24+'ACP_PS_11(i)'!D24+ACP_MSME_10!D24+'ACP_Agri_9(ii)'!N24</f>
        <v>7616.35</v>
      </c>
      <c r="Q24" s="108">
        <f>M24+J24+E24+'ACP_PS_11(i)'!O24+'ACP_PS_11(i)'!J24+'ACP_PS_11(i)'!E24+ACP_MSME_10!O24+'ACP_Agri_9(ii)'!O24</f>
        <v>151</v>
      </c>
      <c r="R24" s="108">
        <f>N24+K24+F24+'ACP_PS_11(i)'!P24+'ACP_PS_11(i)'!K24+'ACP_PS_11(i)'!F24+ACP_MSME_10!P24+'ACP_Agri_9(ii)'!P24</f>
        <v>1325.36</v>
      </c>
      <c r="S24" s="109">
        <f t="shared" si="2"/>
        <v>17.40151122256724</v>
      </c>
      <c r="U24" s="120"/>
    </row>
    <row r="25" spans="1:21" x14ac:dyDescent="0.2">
      <c r="A25" s="65">
        <v>20</v>
      </c>
      <c r="B25" s="66" t="s">
        <v>212</v>
      </c>
      <c r="C25" s="108">
        <v>111</v>
      </c>
      <c r="D25" s="108">
        <v>269</v>
      </c>
      <c r="E25" s="108">
        <v>0</v>
      </c>
      <c r="F25" s="108">
        <v>0</v>
      </c>
      <c r="G25" s="109">
        <f t="shared" si="0"/>
        <v>0</v>
      </c>
      <c r="H25" s="108">
        <v>3</v>
      </c>
      <c r="I25" s="108">
        <v>55</v>
      </c>
      <c r="J25" s="108">
        <v>0</v>
      </c>
      <c r="K25" s="108">
        <v>0</v>
      </c>
      <c r="L25" s="109">
        <f t="shared" si="1"/>
        <v>0</v>
      </c>
      <c r="M25" s="108">
        <v>0</v>
      </c>
      <c r="N25" s="108">
        <v>0</v>
      </c>
      <c r="O25" s="108">
        <f>H25+C25+'ACP_PS_11(i)'!M25+'ACP_PS_11(i)'!H25+'ACP_PS_11(i)'!C25+ACP_MSME_10!C25+'ACP_Agri_9(ii)'!M25</f>
        <v>3579</v>
      </c>
      <c r="P25" s="108">
        <f>I25+D25+'ACP_PS_11(i)'!N25+'ACP_PS_11(i)'!I25+'ACP_PS_11(i)'!D25+ACP_MSME_10!D25+'ACP_Agri_9(ii)'!N25</f>
        <v>18457.810000000001</v>
      </c>
      <c r="Q25" s="108">
        <f>M25+J25+E25+'ACP_PS_11(i)'!O25+'ACP_PS_11(i)'!J25+'ACP_PS_11(i)'!E25+ACP_MSME_10!O25+'ACP_Agri_9(ii)'!O25</f>
        <v>450</v>
      </c>
      <c r="R25" s="108">
        <f>N25+K25+F25+'ACP_PS_11(i)'!P25+'ACP_PS_11(i)'!K25+'ACP_PS_11(i)'!F25+ACP_MSME_10!P25+'ACP_Agri_9(ii)'!P25</f>
        <v>1437</v>
      </c>
      <c r="S25" s="109">
        <f t="shared" si="2"/>
        <v>7.7853223107183354</v>
      </c>
      <c r="U25" s="120"/>
    </row>
    <row r="26" spans="1:21" x14ac:dyDescent="0.2">
      <c r="A26" s="65">
        <v>21</v>
      </c>
      <c r="B26" s="66" t="s">
        <v>213</v>
      </c>
      <c r="C26" s="108">
        <v>430</v>
      </c>
      <c r="D26" s="108">
        <v>778</v>
      </c>
      <c r="E26" s="108">
        <v>0</v>
      </c>
      <c r="F26" s="108">
        <v>0</v>
      </c>
      <c r="G26" s="109">
        <f t="shared" si="0"/>
        <v>0</v>
      </c>
      <c r="H26" s="108">
        <v>6</v>
      </c>
      <c r="I26" s="108">
        <v>106</v>
      </c>
      <c r="J26" s="108">
        <v>0</v>
      </c>
      <c r="K26" s="108">
        <v>0</v>
      </c>
      <c r="L26" s="109">
        <f t="shared" si="1"/>
        <v>0</v>
      </c>
      <c r="M26" s="108">
        <v>0</v>
      </c>
      <c r="N26" s="108">
        <v>0</v>
      </c>
      <c r="O26" s="108">
        <f>H26+C26+'ACP_PS_11(i)'!M26+'ACP_PS_11(i)'!H26+'ACP_PS_11(i)'!C26+ACP_MSME_10!C26+'ACP_Agri_9(ii)'!M26</f>
        <v>2950</v>
      </c>
      <c r="P26" s="108">
        <f>I26+D26+'ACP_PS_11(i)'!N26+'ACP_PS_11(i)'!I26+'ACP_PS_11(i)'!D26+ACP_MSME_10!D26+'ACP_Agri_9(ii)'!N26</f>
        <v>11189.9</v>
      </c>
      <c r="Q26" s="108">
        <f>M26+J26+E26+'ACP_PS_11(i)'!O26+'ACP_PS_11(i)'!J26+'ACP_PS_11(i)'!E26+ACP_MSME_10!O26+'ACP_Agri_9(ii)'!O26</f>
        <v>293</v>
      </c>
      <c r="R26" s="108">
        <f>N26+K26+F26+'ACP_PS_11(i)'!P26+'ACP_PS_11(i)'!K26+'ACP_PS_11(i)'!F26+ACP_MSME_10!P26+'ACP_Agri_9(ii)'!P26</f>
        <v>688</v>
      </c>
      <c r="S26" s="109">
        <f t="shared" si="2"/>
        <v>6.1484016836611586</v>
      </c>
      <c r="U26" s="120"/>
    </row>
    <row r="27" spans="1:21" s="117" customFormat="1" x14ac:dyDescent="0.2">
      <c r="A27" s="65">
        <v>22</v>
      </c>
      <c r="B27" s="66" t="s">
        <v>71</v>
      </c>
      <c r="C27" s="108">
        <v>72584</v>
      </c>
      <c r="D27" s="108">
        <v>136647</v>
      </c>
      <c r="E27" s="108">
        <v>201</v>
      </c>
      <c r="F27" s="108">
        <v>937</v>
      </c>
      <c r="G27" s="109">
        <f t="shared" si="0"/>
        <v>0.68570843121327218</v>
      </c>
      <c r="H27" s="108">
        <v>1599</v>
      </c>
      <c r="I27" s="108">
        <v>9087</v>
      </c>
      <c r="J27" s="108">
        <v>39</v>
      </c>
      <c r="K27" s="108">
        <v>62</v>
      </c>
      <c r="L27" s="109">
        <f t="shared" si="1"/>
        <v>0.68229338615604707</v>
      </c>
      <c r="M27" s="108">
        <v>0</v>
      </c>
      <c r="N27" s="108">
        <v>0</v>
      </c>
      <c r="O27" s="108">
        <f>H27+C27+'ACP_PS_11(i)'!M27+'ACP_PS_11(i)'!H27+'ACP_PS_11(i)'!C27+ACP_MSME_10!C27+'ACP_Agri_9(ii)'!M27</f>
        <v>860328</v>
      </c>
      <c r="P27" s="108">
        <f>I27+D27+'ACP_PS_11(i)'!N27+'ACP_PS_11(i)'!I27+'ACP_PS_11(i)'!D27+ACP_MSME_10!D27+'ACP_Agri_9(ii)'!N27</f>
        <v>2815582.46</v>
      </c>
      <c r="Q27" s="108">
        <f>M27+J27+E27+'ACP_PS_11(i)'!O27+'ACP_PS_11(i)'!J27+'ACP_PS_11(i)'!E27+ACP_MSME_10!O27+'ACP_Agri_9(ii)'!O27</f>
        <v>330175</v>
      </c>
      <c r="R27" s="108">
        <f>N27+K27+F27+'ACP_PS_11(i)'!P27+'ACP_PS_11(i)'!K27+'ACP_PS_11(i)'!F27+ACP_MSME_10!P27+'ACP_Agri_9(ii)'!P27</f>
        <v>717246</v>
      </c>
      <c r="S27" s="109">
        <f t="shared" si="2"/>
        <v>25.474160682191492</v>
      </c>
      <c r="U27" s="120"/>
    </row>
    <row r="28" spans="1:21" x14ac:dyDescent="0.2">
      <c r="A28" s="65">
        <v>23</v>
      </c>
      <c r="B28" s="66" t="s">
        <v>66</v>
      </c>
      <c r="C28" s="108">
        <v>2998</v>
      </c>
      <c r="D28" s="108">
        <v>4974</v>
      </c>
      <c r="E28" s="108">
        <v>0</v>
      </c>
      <c r="F28" s="108">
        <v>0</v>
      </c>
      <c r="G28" s="109">
        <f t="shared" si="0"/>
        <v>0</v>
      </c>
      <c r="H28" s="108">
        <v>12</v>
      </c>
      <c r="I28" s="108">
        <v>283</v>
      </c>
      <c r="J28" s="108">
        <v>0</v>
      </c>
      <c r="K28" s="108">
        <v>0</v>
      </c>
      <c r="L28" s="109">
        <f t="shared" si="1"/>
        <v>0</v>
      </c>
      <c r="M28" s="108">
        <v>699</v>
      </c>
      <c r="N28" s="108">
        <v>7349</v>
      </c>
      <c r="O28" s="108">
        <f>H28+C28+'ACP_PS_11(i)'!M28+'ACP_PS_11(i)'!H28+'ACP_PS_11(i)'!C28+ACP_MSME_10!C28+'ACP_Agri_9(ii)'!M28</f>
        <v>24595</v>
      </c>
      <c r="P28" s="108">
        <f>I28+D28+'ACP_PS_11(i)'!N28+'ACP_PS_11(i)'!I28+'ACP_PS_11(i)'!D28+ACP_MSME_10!D28+'ACP_Agri_9(ii)'!N28</f>
        <v>72002.05</v>
      </c>
      <c r="Q28" s="108">
        <f>M28+J28+E28+'ACP_PS_11(i)'!O28+'ACP_PS_11(i)'!J28+'ACP_PS_11(i)'!E28+ACP_MSME_10!O28+'ACP_Agri_9(ii)'!O28</f>
        <v>30108</v>
      </c>
      <c r="R28" s="108">
        <f>N28+K28+F28+'ACP_PS_11(i)'!P28+'ACP_PS_11(i)'!K28+'ACP_PS_11(i)'!F28+ACP_MSME_10!P28+'ACP_Agri_9(ii)'!P28</f>
        <v>53812.38</v>
      </c>
      <c r="S28" s="109">
        <f t="shared" si="2"/>
        <v>74.737288729973656</v>
      </c>
      <c r="U28" s="120"/>
    </row>
    <row r="29" spans="1:21" x14ac:dyDescent="0.2">
      <c r="A29" s="65">
        <v>24</v>
      </c>
      <c r="B29" s="66" t="s">
        <v>214</v>
      </c>
      <c r="C29" s="108">
        <v>8268</v>
      </c>
      <c r="D29" s="108">
        <v>9485</v>
      </c>
      <c r="E29" s="108">
        <v>0</v>
      </c>
      <c r="F29" s="108">
        <v>0</v>
      </c>
      <c r="G29" s="109">
        <f t="shared" si="0"/>
        <v>0</v>
      </c>
      <c r="H29" s="108">
        <v>38</v>
      </c>
      <c r="I29" s="108">
        <v>697</v>
      </c>
      <c r="J29" s="108">
        <v>0</v>
      </c>
      <c r="K29" s="108">
        <v>0</v>
      </c>
      <c r="L29" s="109">
        <f t="shared" si="1"/>
        <v>0</v>
      </c>
      <c r="M29" s="108">
        <v>2520</v>
      </c>
      <c r="N29" s="108">
        <v>11840</v>
      </c>
      <c r="O29" s="108">
        <f>H29+C29+'ACP_PS_11(i)'!M29+'ACP_PS_11(i)'!H29+'ACP_PS_11(i)'!C29+ACP_MSME_10!C29+'ACP_Agri_9(ii)'!M29</f>
        <v>69559</v>
      </c>
      <c r="P29" s="108">
        <f>I29+D29+'ACP_PS_11(i)'!N29+'ACP_PS_11(i)'!I29+'ACP_PS_11(i)'!D29+ACP_MSME_10!D29+'ACP_Agri_9(ii)'!N29</f>
        <v>229293.8</v>
      </c>
      <c r="Q29" s="108">
        <f>M29+J29+E29+'ACP_PS_11(i)'!O29+'ACP_PS_11(i)'!J29+'ACP_PS_11(i)'!E29+ACP_MSME_10!O29+'ACP_Agri_9(ii)'!O29</f>
        <v>7255</v>
      </c>
      <c r="R29" s="108">
        <f>N29+K29+F29+'ACP_PS_11(i)'!P29+'ACP_PS_11(i)'!K29+'ACP_PS_11(i)'!F29+ACP_MSME_10!P29+'ACP_Agri_9(ii)'!P29</f>
        <v>32971.370000000003</v>
      </c>
      <c r="S29" s="109">
        <f t="shared" si="2"/>
        <v>14.379529668922581</v>
      </c>
      <c r="U29" s="120"/>
    </row>
    <row r="30" spans="1:21" x14ac:dyDescent="0.2">
      <c r="A30" s="65">
        <v>25</v>
      </c>
      <c r="B30" s="66" t="s">
        <v>67</v>
      </c>
      <c r="C30" s="108">
        <v>6492</v>
      </c>
      <c r="D30" s="108">
        <v>14644</v>
      </c>
      <c r="E30" s="108">
        <v>83</v>
      </c>
      <c r="F30" s="108">
        <v>256.69</v>
      </c>
      <c r="G30" s="109">
        <f t="shared" si="0"/>
        <v>1.752868068833652</v>
      </c>
      <c r="H30" s="108">
        <v>187</v>
      </c>
      <c r="I30" s="108">
        <v>1087</v>
      </c>
      <c r="J30" s="108">
        <v>18</v>
      </c>
      <c r="K30" s="108">
        <v>15.86</v>
      </c>
      <c r="L30" s="109">
        <f t="shared" si="1"/>
        <v>1.4590616375344987</v>
      </c>
      <c r="M30" s="108">
        <v>0</v>
      </c>
      <c r="N30" s="108">
        <v>0</v>
      </c>
      <c r="O30" s="108">
        <f>H30+C30+'ACP_PS_11(i)'!M30+'ACP_PS_11(i)'!H30+'ACP_PS_11(i)'!C30+ACP_MSME_10!C30+'ACP_Agri_9(ii)'!M30</f>
        <v>126889</v>
      </c>
      <c r="P30" s="108">
        <f>I30+D30+'ACP_PS_11(i)'!N30+'ACP_PS_11(i)'!I30+'ACP_PS_11(i)'!D30+ACP_MSME_10!D30+'ACP_Agri_9(ii)'!N30</f>
        <v>320673.66000000003</v>
      </c>
      <c r="Q30" s="108">
        <f>M30+J30+E30+'ACP_PS_11(i)'!O30+'ACP_PS_11(i)'!J30+'ACP_PS_11(i)'!E30+ACP_MSME_10!O30+'ACP_Agri_9(ii)'!O30</f>
        <v>31678</v>
      </c>
      <c r="R30" s="108">
        <f>N30+K30+F30+'ACP_PS_11(i)'!P30+'ACP_PS_11(i)'!K30+'ACP_PS_11(i)'!F30+ACP_MSME_10!P30+'ACP_Agri_9(ii)'!P30</f>
        <v>132513.16</v>
      </c>
      <c r="S30" s="109">
        <f t="shared" si="2"/>
        <v>41.323369059997006</v>
      </c>
      <c r="U30" s="120"/>
    </row>
    <row r="31" spans="1:21" x14ac:dyDescent="0.2">
      <c r="A31" s="65">
        <v>26</v>
      </c>
      <c r="B31" s="199" t="s">
        <v>68</v>
      </c>
      <c r="C31" s="108">
        <v>335</v>
      </c>
      <c r="D31" s="108">
        <v>421</v>
      </c>
      <c r="E31" s="108">
        <v>0</v>
      </c>
      <c r="F31" s="108">
        <v>0</v>
      </c>
      <c r="G31" s="109">
        <f t="shared" si="0"/>
        <v>0</v>
      </c>
      <c r="H31" s="108">
        <v>4</v>
      </c>
      <c r="I31" s="108">
        <v>76</v>
      </c>
      <c r="J31" s="108">
        <v>0</v>
      </c>
      <c r="K31" s="108">
        <v>0</v>
      </c>
      <c r="L31" s="109">
        <f t="shared" si="1"/>
        <v>0</v>
      </c>
      <c r="M31" s="108">
        <v>277</v>
      </c>
      <c r="N31" s="108">
        <v>1073</v>
      </c>
      <c r="O31" s="108">
        <f>H31+C31+'ACP_PS_11(i)'!M31+'ACP_PS_11(i)'!H31+'ACP_PS_11(i)'!C31+ACP_MSME_10!C31+'ACP_Agri_9(ii)'!M31</f>
        <v>3060</v>
      </c>
      <c r="P31" s="108">
        <f>I31+D31+'ACP_PS_11(i)'!N31+'ACP_PS_11(i)'!I31+'ACP_PS_11(i)'!D31+ACP_MSME_10!D31+'ACP_Agri_9(ii)'!N31</f>
        <v>11216.56</v>
      </c>
      <c r="Q31" s="108">
        <f>M31+J31+E31+'ACP_PS_11(i)'!O31+'ACP_PS_11(i)'!J31+'ACP_PS_11(i)'!E31+ACP_MSME_10!O31+'ACP_Agri_9(ii)'!O31</f>
        <v>2446</v>
      </c>
      <c r="R31" s="108">
        <f>N31+K31+F31+'ACP_PS_11(i)'!P31+'ACP_PS_11(i)'!K31+'ACP_PS_11(i)'!F31+ACP_MSME_10!P31+'ACP_Agri_9(ii)'!P31</f>
        <v>9225</v>
      </c>
      <c r="S31" s="109">
        <f t="shared" si="2"/>
        <v>82.244467109345464</v>
      </c>
      <c r="U31" s="120"/>
    </row>
    <row r="32" spans="1:21" x14ac:dyDescent="0.2">
      <c r="A32" s="65">
        <v>27</v>
      </c>
      <c r="B32" s="66" t="s">
        <v>51</v>
      </c>
      <c r="C32" s="108">
        <v>1122</v>
      </c>
      <c r="D32" s="108">
        <v>1889</v>
      </c>
      <c r="E32" s="108">
        <v>0</v>
      </c>
      <c r="F32" s="108">
        <v>0</v>
      </c>
      <c r="G32" s="109">
        <f t="shared" si="0"/>
        <v>0</v>
      </c>
      <c r="H32" s="108">
        <v>8</v>
      </c>
      <c r="I32" s="108">
        <v>131</v>
      </c>
      <c r="J32" s="108">
        <v>0</v>
      </c>
      <c r="K32" s="108">
        <v>0</v>
      </c>
      <c r="L32" s="109">
        <f t="shared" si="1"/>
        <v>0</v>
      </c>
      <c r="M32" s="108">
        <v>0</v>
      </c>
      <c r="N32" s="108">
        <v>0</v>
      </c>
      <c r="O32" s="108">
        <f>H32+C32+'ACP_PS_11(i)'!M32+'ACP_PS_11(i)'!H32+'ACP_PS_11(i)'!C32+ACP_MSME_10!C32+'ACP_Agri_9(ii)'!M32</f>
        <v>8087</v>
      </c>
      <c r="P32" s="108">
        <f>I32+D32+'ACP_PS_11(i)'!N32+'ACP_PS_11(i)'!I32+'ACP_PS_11(i)'!D32+ACP_MSME_10!D32+'ACP_Agri_9(ii)'!N32</f>
        <v>26439.41</v>
      </c>
      <c r="Q32" s="108">
        <f>M32+J32+E32+'ACP_PS_11(i)'!O32+'ACP_PS_11(i)'!J32+'ACP_PS_11(i)'!E32+ACP_MSME_10!O32+'ACP_Agri_9(ii)'!O32</f>
        <v>4354</v>
      </c>
      <c r="R32" s="108">
        <f>N32+K32+F32+'ACP_PS_11(i)'!P32+'ACP_PS_11(i)'!K32+'ACP_PS_11(i)'!F32+ACP_MSME_10!P32+'ACP_Agri_9(ii)'!P32</f>
        <v>10909.4</v>
      </c>
      <c r="S32" s="109">
        <f t="shared" si="2"/>
        <v>41.261888975586068</v>
      </c>
      <c r="U32" s="120"/>
    </row>
    <row r="33" spans="1:21" s="117" customFormat="1" x14ac:dyDescent="0.2">
      <c r="A33" s="384"/>
      <c r="B33" s="68" t="s">
        <v>215</v>
      </c>
      <c r="C33" s="115">
        <f>SUM(C6:C32)</f>
        <v>173430</v>
      </c>
      <c r="D33" s="115">
        <f t="shared" ref="D33:N33" si="3">SUM(D6:D32)</f>
        <v>317554</v>
      </c>
      <c r="E33" s="115">
        <f t="shared" si="3"/>
        <v>402</v>
      </c>
      <c r="F33" s="115">
        <f t="shared" si="3"/>
        <v>1532.14</v>
      </c>
      <c r="G33" s="106">
        <f t="shared" si="0"/>
        <v>0.4824817196445329</v>
      </c>
      <c r="H33" s="115">
        <f t="shared" si="3"/>
        <v>4305</v>
      </c>
      <c r="I33" s="115">
        <f t="shared" si="3"/>
        <v>23086</v>
      </c>
      <c r="J33" s="115">
        <f t="shared" si="3"/>
        <v>58</v>
      </c>
      <c r="K33" s="115">
        <f t="shared" si="3"/>
        <v>82.86</v>
      </c>
      <c r="L33" s="106">
        <f t="shared" si="1"/>
        <v>0.35891882526206359</v>
      </c>
      <c r="M33" s="115">
        <f t="shared" si="3"/>
        <v>59545</v>
      </c>
      <c r="N33" s="115">
        <f t="shared" si="3"/>
        <v>199734.66999999998</v>
      </c>
      <c r="O33" s="115">
        <f>H33+C33+'ACP_PS_11(i)'!M33+'ACP_PS_11(i)'!H33+'ACP_PS_11(i)'!C33+ACP_MSME_10!C33+'ACP_Agri_9(ii)'!M33</f>
        <v>2080180</v>
      </c>
      <c r="P33" s="115">
        <f>I33+D33+'ACP_PS_11(i)'!N33+'ACP_PS_11(i)'!I33+'ACP_PS_11(i)'!D33+ACP_MSME_10!D33+'ACP_Agri_9(ii)'!N33</f>
        <v>6777587.2599999998</v>
      </c>
      <c r="Q33" s="115">
        <f>M33+J33+E33+'ACP_PS_11(i)'!O33+'ACP_PS_11(i)'!J33+'ACP_PS_11(i)'!E33+ACP_MSME_10!O33+'ACP_Agri_9(ii)'!O33</f>
        <v>1484591</v>
      </c>
      <c r="R33" s="115">
        <f>N33+K33+F33+'ACP_PS_11(i)'!P33+'ACP_PS_11(i)'!K33+'ACP_PS_11(i)'!F33+ACP_MSME_10!P33+'ACP_Agri_9(ii)'!P33</f>
        <v>2866964.08</v>
      </c>
      <c r="S33" s="106">
        <f t="shared" si="2"/>
        <v>42.300659069640666</v>
      </c>
      <c r="U33" s="121"/>
    </row>
    <row r="34" spans="1:21" s="117" customFormat="1" x14ac:dyDescent="0.2">
      <c r="A34" s="65">
        <v>28</v>
      </c>
      <c r="B34" s="66" t="s">
        <v>48</v>
      </c>
      <c r="C34" s="108">
        <v>2740</v>
      </c>
      <c r="D34" s="108">
        <v>6120</v>
      </c>
      <c r="E34" s="108">
        <v>0</v>
      </c>
      <c r="F34" s="108">
        <v>0</v>
      </c>
      <c r="G34" s="109">
        <f t="shared" si="0"/>
        <v>0</v>
      </c>
      <c r="H34" s="108">
        <v>22</v>
      </c>
      <c r="I34" s="108">
        <v>449</v>
      </c>
      <c r="J34" s="108">
        <v>0</v>
      </c>
      <c r="K34" s="108">
        <v>0</v>
      </c>
      <c r="L34" s="109">
        <f t="shared" si="1"/>
        <v>0</v>
      </c>
      <c r="M34" s="108">
        <v>48676</v>
      </c>
      <c r="N34" s="108">
        <v>7115.69</v>
      </c>
      <c r="O34" s="108">
        <f>H34+C34+'ACP_PS_11(i)'!M34+'ACP_PS_11(i)'!H34+'ACP_PS_11(i)'!C34+ACP_MSME_10!C34+'ACP_Agri_9(ii)'!M34</f>
        <v>40040</v>
      </c>
      <c r="P34" s="108">
        <f>I34+D34+'ACP_PS_11(i)'!N34+'ACP_PS_11(i)'!I34+'ACP_PS_11(i)'!D34+ACP_MSME_10!D34+'ACP_Agri_9(ii)'!N34</f>
        <v>139086.83000000002</v>
      </c>
      <c r="Q34" s="108">
        <f>M34+J34+E34+'ACP_PS_11(i)'!O34+'ACP_PS_11(i)'!J34+'ACP_PS_11(i)'!E34+ACP_MSME_10!O34+'ACP_Agri_9(ii)'!O34</f>
        <v>85753</v>
      </c>
      <c r="R34" s="108">
        <f>N34+K34+F34+'ACP_PS_11(i)'!P34+'ACP_PS_11(i)'!K34+'ACP_PS_11(i)'!F34+ACP_MSME_10!P34+'ACP_Agri_9(ii)'!P34</f>
        <v>57006.009999999995</v>
      </c>
      <c r="S34" s="109">
        <f t="shared" si="2"/>
        <v>40.985915057521972</v>
      </c>
      <c r="U34" s="120"/>
    </row>
    <row r="35" spans="1:21" x14ac:dyDescent="0.2">
      <c r="A35" s="65">
        <v>29</v>
      </c>
      <c r="B35" s="66" t="s">
        <v>216</v>
      </c>
      <c r="C35" s="108">
        <v>658</v>
      </c>
      <c r="D35" s="108">
        <v>706</v>
      </c>
      <c r="E35" s="108">
        <v>0</v>
      </c>
      <c r="F35" s="108">
        <v>0</v>
      </c>
      <c r="G35" s="109">
        <f t="shared" si="0"/>
        <v>0</v>
      </c>
      <c r="H35" s="108">
        <v>0</v>
      </c>
      <c r="I35" s="108">
        <v>0</v>
      </c>
      <c r="J35" s="108">
        <v>0</v>
      </c>
      <c r="K35" s="108">
        <v>0</v>
      </c>
      <c r="L35" s="109">
        <v>0</v>
      </c>
      <c r="M35" s="108">
        <v>0</v>
      </c>
      <c r="N35" s="108">
        <v>0</v>
      </c>
      <c r="O35" s="108">
        <f>H35+C35+'ACP_PS_11(i)'!M35+'ACP_PS_11(i)'!H35+'ACP_PS_11(i)'!C35+ACP_MSME_10!C35+'ACP_Agri_9(ii)'!M35</f>
        <v>1661</v>
      </c>
      <c r="P35" s="108">
        <f>I35+D35+'ACP_PS_11(i)'!N35+'ACP_PS_11(i)'!I35+'ACP_PS_11(i)'!D35+ACP_MSME_10!D35+'ACP_Agri_9(ii)'!N35</f>
        <v>2063.98</v>
      </c>
      <c r="Q35" s="108">
        <f>M35+J35+E35+'ACP_PS_11(i)'!O35+'ACP_PS_11(i)'!J35+'ACP_PS_11(i)'!E35+ACP_MSME_10!O35+'ACP_Agri_9(ii)'!O35</f>
        <v>4804</v>
      </c>
      <c r="R35" s="108">
        <f>N35+K35+F35+'ACP_PS_11(i)'!P35+'ACP_PS_11(i)'!K35+'ACP_PS_11(i)'!F35+ACP_MSME_10!P35+'ACP_Agri_9(ii)'!P35</f>
        <v>26566</v>
      </c>
      <c r="S35" s="109">
        <f t="shared" si="2"/>
        <v>1287.124875241039</v>
      </c>
      <c r="U35" s="120"/>
    </row>
    <row r="36" spans="1:21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9">
        <v>0</v>
      </c>
      <c r="H36" s="108">
        <v>0</v>
      </c>
      <c r="I36" s="108">
        <v>0</v>
      </c>
      <c r="J36" s="108">
        <v>0</v>
      </c>
      <c r="K36" s="108">
        <v>0</v>
      </c>
      <c r="L36" s="109">
        <v>0</v>
      </c>
      <c r="M36" s="108">
        <v>0</v>
      </c>
      <c r="N36" s="108">
        <v>0</v>
      </c>
      <c r="O36" s="108">
        <f>H36+C36+'ACP_PS_11(i)'!M36+'ACP_PS_11(i)'!H36+'ACP_PS_11(i)'!C36+ACP_MSME_10!C36+'ACP_Agri_9(ii)'!M36</f>
        <v>0</v>
      </c>
      <c r="P36" s="108">
        <f>I36+D36+'ACP_PS_11(i)'!N36+'ACP_PS_11(i)'!I36+'ACP_PS_11(i)'!D36+ACP_MSME_10!D36+'ACP_Agri_9(ii)'!N36</f>
        <v>0</v>
      </c>
      <c r="Q36" s="108">
        <f>M36+J36+E36+'ACP_PS_11(i)'!O36+'ACP_PS_11(i)'!J36+'ACP_PS_11(i)'!E36+ACP_MSME_10!O36+'ACP_Agri_9(ii)'!O36</f>
        <v>0</v>
      </c>
      <c r="R36" s="108">
        <f>N36+K36+F36+'ACP_PS_11(i)'!P36+'ACP_PS_11(i)'!K36+'ACP_PS_11(i)'!F36+ACP_MSME_10!P36+'ACP_Agri_9(ii)'!P36</f>
        <v>0</v>
      </c>
      <c r="S36" s="109">
        <v>0</v>
      </c>
      <c r="U36" s="120"/>
    </row>
    <row r="37" spans="1:21" x14ac:dyDescent="0.2">
      <c r="A37" s="65">
        <v>31</v>
      </c>
      <c r="B37" s="66" t="s">
        <v>79</v>
      </c>
      <c r="C37" s="108">
        <v>0</v>
      </c>
      <c r="D37" s="108">
        <v>0</v>
      </c>
      <c r="E37" s="108">
        <v>0</v>
      </c>
      <c r="F37" s="108">
        <v>0</v>
      </c>
      <c r="G37" s="109">
        <v>0</v>
      </c>
      <c r="H37" s="108">
        <v>0</v>
      </c>
      <c r="I37" s="108">
        <v>0</v>
      </c>
      <c r="J37" s="108">
        <v>0</v>
      </c>
      <c r="K37" s="108">
        <v>0</v>
      </c>
      <c r="L37" s="109">
        <v>0</v>
      </c>
      <c r="M37" s="108">
        <v>0</v>
      </c>
      <c r="N37" s="108">
        <v>0</v>
      </c>
      <c r="O37" s="108">
        <f>H37+C37+'ACP_PS_11(i)'!M37+'ACP_PS_11(i)'!H37+'ACP_PS_11(i)'!C37+ACP_MSME_10!C37+'ACP_Agri_9(ii)'!M37</f>
        <v>0</v>
      </c>
      <c r="P37" s="108">
        <f>I37+D37+'ACP_PS_11(i)'!N37+'ACP_PS_11(i)'!I37+'ACP_PS_11(i)'!D37+ACP_MSME_10!D37+'ACP_Agri_9(ii)'!N37</f>
        <v>0</v>
      </c>
      <c r="Q37" s="108">
        <f>M37+J37+E37+'ACP_PS_11(i)'!O37+'ACP_PS_11(i)'!J37+'ACP_PS_11(i)'!E37+ACP_MSME_10!O37+'ACP_Agri_9(ii)'!O37</f>
        <v>0</v>
      </c>
      <c r="R37" s="108">
        <f>N37+K37+F37+'ACP_PS_11(i)'!P37+'ACP_PS_11(i)'!K37+'ACP_PS_11(i)'!F37+ACP_MSME_10!P37+'ACP_Agri_9(ii)'!P37</f>
        <v>0</v>
      </c>
      <c r="S37" s="109">
        <v>0</v>
      </c>
      <c r="U37" s="120"/>
    </row>
    <row r="38" spans="1:21" x14ac:dyDescent="0.2">
      <c r="A38" s="65">
        <v>32</v>
      </c>
      <c r="B38" s="66" t="s">
        <v>52</v>
      </c>
      <c r="C38" s="108">
        <v>14</v>
      </c>
      <c r="D38" s="108">
        <v>38</v>
      </c>
      <c r="E38" s="108">
        <v>0</v>
      </c>
      <c r="F38" s="108">
        <v>0</v>
      </c>
      <c r="G38" s="109">
        <f t="shared" si="0"/>
        <v>0</v>
      </c>
      <c r="H38" s="108">
        <v>4</v>
      </c>
      <c r="I38" s="108">
        <v>3</v>
      </c>
      <c r="J38" s="108">
        <v>0</v>
      </c>
      <c r="K38" s="108">
        <v>0</v>
      </c>
      <c r="L38" s="109">
        <f t="shared" si="1"/>
        <v>0</v>
      </c>
      <c r="M38" s="108">
        <v>0</v>
      </c>
      <c r="N38" s="108">
        <v>0</v>
      </c>
      <c r="O38" s="108">
        <f>H38+C38+'ACP_PS_11(i)'!M38+'ACP_PS_11(i)'!H38+'ACP_PS_11(i)'!C38+ACP_MSME_10!C38+'ACP_Agri_9(ii)'!M38</f>
        <v>204</v>
      </c>
      <c r="P38" s="108">
        <f>I38+D38+'ACP_PS_11(i)'!N38+'ACP_PS_11(i)'!I38+'ACP_PS_11(i)'!D38+ACP_MSME_10!D38+'ACP_Agri_9(ii)'!N38</f>
        <v>1030</v>
      </c>
      <c r="Q38" s="108">
        <f>M38+J38+E38+'ACP_PS_11(i)'!O38+'ACP_PS_11(i)'!J38+'ACP_PS_11(i)'!E38+ACP_MSME_10!O38+'ACP_Agri_9(ii)'!O38</f>
        <v>11</v>
      </c>
      <c r="R38" s="108">
        <f>N38+K38+F38+'ACP_PS_11(i)'!P38+'ACP_PS_11(i)'!K38+'ACP_PS_11(i)'!F38+ACP_MSME_10!P38+'ACP_Agri_9(ii)'!P38</f>
        <v>136.82999999999998</v>
      </c>
      <c r="S38" s="109">
        <f t="shared" si="2"/>
        <v>13.284466019417474</v>
      </c>
      <c r="U38" s="120"/>
    </row>
    <row r="39" spans="1:21" x14ac:dyDescent="0.2">
      <c r="A39" s="65">
        <v>33</v>
      </c>
      <c r="B39" s="66" t="s">
        <v>218</v>
      </c>
      <c r="C39" s="108">
        <v>38</v>
      </c>
      <c r="D39" s="108">
        <v>259</v>
      </c>
      <c r="E39" s="108">
        <v>0</v>
      </c>
      <c r="F39" s="108">
        <v>0</v>
      </c>
      <c r="G39" s="109">
        <f t="shared" si="0"/>
        <v>0</v>
      </c>
      <c r="H39" s="108">
        <v>2</v>
      </c>
      <c r="I39" s="108">
        <v>2</v>
      </c>
      <c r="J39" s="108">
        <v>0</v>
      </c>
      <c r="K39" s="108">
        <v>0</v>
      </c>
      <c r="L39" s="109">
        <f t="shared" si="1"/>
        <v>0</v>
      </c>
      <c r="M39" s="108">
        <v>0</v>
      </c>
      <c r="N39" s="108">
        <v>0</v>
      </c>
      <c r="O39" s="108">
        <f>H39+C39+'ACP_PS_11(i)'!M39+'ACP_PS_11(i)'!H39+'ACP_PS_11(i)'!C39+ACP_MSME_10!C39+'ACP_Agri_9(ii)'!M39</f>
        <v>497</v>
      </c>
      <c r="P39" s="108">
        <f>I39+D39+'ACP_PS_11(i)'!N39+'ACP_PS_11(i)'!I39+'ACP_PS_11(i)'!D39+ACP_MSME_10!D39+'ACP_Agri_9(ii)'!N39</f>
        <v>1498.08</v>
      </c>
      <c r="Q39" s="108">
        <f>M39+J39+E39+'ACP_PS_11(i)'!O39+'ACP_PS_11(i)'!J39+'ACP_PS_11(i)'!E39+ACP_MSME_10!O39+'ACP_Agri_9(ii)'!O39</f>
        <v>0</v>
      </c>
      <c r="R39" s="108">
        <f>N39+K39+F39+'ACP_PS_11(i)'!P39+'ACP_PS_11(i)'!K39+'ACP_PS_11(i)'!F39+ACP_MSME_10!P39+'ACP_Agri_9(ii)'!P39</f>
        <v>0</v>
      </c>
      <c r="S39" s="109">
        <f t="shared" si="2"/>
        <v>0</v>
      </c>
      <c r="U39" s="120"/>
    </row>
    <row r="40" spans="1:21" x14ac:dyDescent="0.2">
      <c r="A40" s="65">
        <v>34</v>
      </c>
      <c r="B40" s="66" t="s">
        <v>219</v>
      </c>
      <c r="C40" s="108">
        <v>41</v>
      </c>
      <c r="D40" s="108">
        <v>98</v>
      </c>
      <c r="E40" s="108">
        <v>0</v>
      </c>
      <c r="F40" s="108">
        <v>0</v>
      </c>
      <c r="G40" s="109">
        <f t="shared" si="0"/>
        <v>0</v>
      </c>
      <c r="H40" s="108">
        <v>1</v>
      </c>
      <c r="I40" s="108">
        <v>3</v>
      </c>
      <c r="J40" s="108">
        <v>0</v>
      </c>
      <c r="K40" s="108">
        <v>0</v>
      </c>
      <c r="L40" s="109">
        <f t="shared" si="1"/>
        <v>0</v>
      </c>
      <c r="M40" s="108">
        <v>0</v>
      </c>
      <c r="N40" s="108">
        <v>0</v>
      </c>
      <c r="O40" s="108">
        <f>H40+C40+'ACP_PS_11(i)'!M40+'ACP_PS_11(i)'!H40+'ACP_PS_11(i)'!C40+ACP_MSME_10!C40+'ACP_Agri_9(ii)'!M40</f>
        <v>340</v>
      </c>
      <c r="P40" s="108">
        <f>I40+D40+'ACP_PS_11(i)'!N40+'ACP_PS_11(i)'!I40+'ACP_PS_11(i)'!D40+ACP_MSME_10!D40+'ACP_Agri_9(ii)'!N40</f>
        <v>1337.06</v>
      </c>
      <c r="Q40" s="108">
        <f>M40+J40+E40+'ACP_PS_11(i)'!O40+'ACP_PS_11(i)'!J40+'ACP_PS_11(i)'!E40+ACP_MSME_10!O40+'ACP_Agri_9(ii)'!O40</f>
        <v>0</v>
      </c>
      <c r="R40" s="108">
        <f>N40+K40+F40+'ACP_PS_11(i)'!P40+'ACP_PS_11(i)'!K40+'ACP_PS_11(i)'!F40+ACP_MSME_10!P40+'ACP_Agri_9(ii)'!P40</f>
        <v>0</v>
      </c>
      <c r="S40" s="109">
        <f t="shared" si="2"/>
        <v>0</v>
      </c>
      <c r="U40" s="120"/>
    </row>
    <row r="41" spans="1:21" x14ac:dyDescent="0.2">
      <c r="A41" s="65">
        <v>35</v>
      </c>
      <c r="B41" s="66" t="s">
        <v>220</v>
      </c>
      <c r="C41" s="108">
        <v>107</v>
      </c>
      <c r="D41" s="108">
        <v>304</v>
      </c>
      <c r="E41" s="108">
        <v>0</v>
      </c>
      <c r="F41" s="108">
        <v>0</v>
      </c>
      <c r="G41" s="109">
        <f t="shared" si="0"/>
        <v>0</v>
      </c>
      <c r="H41" s="108">
        <v>4</v>
      </c>
      <c r="I41" s="108">
        <v>5</v>
      </c>
      <c r="J41" s="108">
        <v>0</v>
      </c>
      <c r="K41" s="108">
        <v>0</v>
      </c>
      <c r="L41" s="109">
        <f t="shared" si="1"/>
        <v>0</v>
      </c>
      <c r="M41" s="108">
        <v>42</v>
      </c>
      <c r="N41" s="108">
        <v>214.4</v>
      </c>
      <c r="O41" s="108">
        <f>H41+C41+'ACP_PS_11(i)'!M41+'ACP_PS_11(i)'!H41+'ACP_PS_11(i)'!C41+ACP_MSME_10!C41+'ACP_Agri_9(ii)'!M41</f>
        <v>1734</v>
      </c>
      <c r="P41" s="108">
        <f>I41+D41+'ACP_PS_11(i)'!N41+'ACP_PS_11(i)'!I41+'ACP_PS_11(i)'!D41+ACP_MSME_10!D41+'ACP_Agri_9(ii)'!N41</f>
        <v>6964.8899999999994</v>
      </c>
      <c r="Q41" s="108">
        <f>M41+J41+E41+'ACP_PS_11(i)'!O41+'ACP_PS_11(i)'!J41+'ACP_PS_11(i)'!E41+ACP_MSME_10!O41+'ACP_Agri_9(ii)'!O41</f>
        <v>2731</v>
      </c>
      <c r="R41" s="108">
        <f>N41+K41+F41+'ACP_PS_11(i)'!P41+'ACP_PS_11(i)'!K41+'ACP_PS_11(i)'!F41+ACP_MSME_10!P41+'ACP_Agri_9(ii)'!P41</f>
        <v>7241.56</v>
      </c>
      <c r="S41" s="109">
        <f t="shared" si="2"/>
        <v>103.9723527579043</v>
      </c>
      <c r="U41" s="120"/>
    </row>
    <row r="42" spans="1:21" x14ac:dyDescent="0.2">
      <c r="A42" s="65">
        <v>36</v>
      </c>
      <c r="B42" s="66" t="s">
        <v>72</v>
      </c>
      <c r="C42" s="108">
        <v>3710</v>
      </c>
      <c r="D42" s="108">
        <v>6990</v>
      </c>
      <c r="E42" s="108">
        <v>0</v>
      </c>
      <c r="F42" s="108">
        <v>0</v>
      </c>
      <c r="G42" s="109">
        <f t="shared" si="0"/>
        <v>0</v>
      </c>
      <c r="H42" s="108">
        <v>142</v>
      </c>
      <c r="I42" s="108">
        <v>818</v>
      </c>
      <c r="J42" s="108">
        <v>0</v>
      </c>
      <c r="K42" s="108">
        <v>0</v>
      </c>
      <c r="L42" s="109">
        <f t="shared" si="1"/>
        <v>0</v>
      </c>
      <c r="M42" s="108">
        <v>22</v>
      </c>
      <c r="N42" s="108">
        <v>9</v>
      </c>
      <c r="O42" s="108">
        <f>H42+C42+'ACP_PS_11(i)'!M42+'ACP_PS_11(i)'!H42+'ACP_PS_11(i)'!C42+ACP_MSME_10!C42+'ACP_Agri_9(ii)'!M42</f>
        <v>53865</v>
      </c>
      <c r="P42" s="108">
        <f>I42+D42+'ACP_PS_11(i)'!N42+'ACP_PS_11(i)'!I42+'ACP_PS_11(i)'!D42+ACP_MSME_10!D42+'ACP_Agri_9(ii)'!N42</f>
        <v>215681.58000000002</v>
      </c>
      <c r="Q42" s="108">
        <f>M42+J42+E42+'ACP_PS_11(i)'!O42+'ACP_PS_11(i)'!J42+'ACP_PS_11(i)'!E42+ACP_MSME_10!O42+'ACP_Agri_9(ii)'!O42</f>
        <v>72918</v>
      </c>
      <c r="R42" s="108">
        <f>N42+K42+F42+'ACP_PS_11(i)'!P42+'ACP_PS_11(i)'!K42+'ACP_PS_11(i)'!F42+ACP_MSME_10!P42+'ACP_Agri_9(ii)'!P42</f>
        <v>193422</v>
      </c>
      <c r="S42" s="109">
        <f t="shared" si="2"/>
        <v>89.679424640713407</v>
      </c>
      <c r="U42" s="120"/>
    </row>
    <row r="43" spans="1:21" x14ac:dyDescent="0.2">
      <c r="A43" s="65">
        <v>37</v>
      </c>
      <c r="B43" s="66" t="s">
        <v>73</v>
      </c>
      <c r="C43" s="108">
        <v>9270</v>
      </c>
      <c r="D43" s="108">
        <v>17252</v>
      </c>
      <c r="E43" s="108">
        <v>0</v>
      </c>
      <c r="F43" s="108">
        <v>0</v>
      </c>
      <c r="G43" s="109">
        <f t="shared" si="0"/>
        <v>0</v>
      </c>
      <c r="H43" s="108">
        <v>144</v>
      </c>
      <c r="I43" s="108">
        <v>910</v>
      </c>
      <c r="J43" s="108">
        <v>0</v>
      </c>
      <c r="K43" s="108">
        <v>0</v>
      </c>
      <c r="L43" s="109">
        <f t="shared" si="1"/>
        <v>0</v>
      </c>
      <c r="M43" s="108">
        <v>494</v>
      </c>
      <c r="N43" s="108">
        <v>177.85</v>
      </c>
      <c r="O43" s="108">
        <f>H43+C43+'ACP_PS_11(i)'!M43+'ACP_PS_11(i)'!H43+'ACP_PS_11(i)'!C43+ACP_MSME_10!C43+'ACP_Agri_9(ii)'!M43</f>
        <v>60123</v>
      </c>
      <c r="P43" s="108">
        <f>I43+D43+'ACP_PS_11(i)'!N43+'ACP_PS_11(i)'!I43+'ACP_PS_11(i)'!D43+ACP_MSME_10!D43+'ACP_Agri_9(ii)'!N43</f>
        <v>215822.41</v>
      </c>
      <c r="Q43" s="108">
        <f>M43+J43+E43+'ACP_PS_11(i)'!O43+'ACP_PS_11(i)'!J43+'ACP_PS_11(i)'!E43+ACP_MSME_10!O43+'ACP_Agri_9(ii)'!O43</f>
        <v>68351</v>
      </c>
      <c r="R43" s="108">
        <f>N43+K43+F43+'ACP_PS_11(i)'!P43+'ACP_PS_11(i)'!K43+'ACP_PS_11(i)'!F43+ACP_MSME_10!P43+'ACP_Agri_9(ii)'!P43</f>
        <v>269067</v>
      </c>
      <c r="S43" s="109">
        <f t="shared" si="2"/>
        <v>124.67055668593451</v>
      </c>
      <c r="U43" s="120"/>
    </row>
    <row r="44" spans="1:21" x14ac:dyDescent="0.2">
      <c r="A44" s="65">
        <v>38</v>
      </c>
      <c r="B44" s="66" t="s">
        <v>221</v>
      </c>
      <c r="C44" s="108">
        <v>0</v>
      </c>
      <c r="D44" s="108">
        <v>0</v>
      </c>
      <c r="E44" s="108">
        <v>0</v>
      </c>
      <c r="F44" s="108">
        <v>0</v>
      </c>
      <c r="G44" s="109">
        <v>0</v>
      </c>
      <c r="H44" s="108">
        <v>0</v>
      </c>
      <c r="I44" s="108">
        <v>0</v>
      </c>
      <c r="J44" s="108">
        <v>0</v>
      </c>
      <c r="K44" s="108">
        <v>0</v>
      </c>
      <c r="L44" s="109">
        <v>0</v>
      </c>
      <c r="M44" s="108">
        <v>0</v>
      </c>
      <c r="N44" s="108">
        <v>0</v>
      </c>
      <c r="O44" s="108">
        <f>H44+C44+'ACP_PS_11(i)'!M44+'ACP_PS_11(i)'!H44+'ACP_PS_11(i)'!C44+ACP_MSME_10!C44+'ACP_Agri_9(ii)'!M44</f>
        <v>0</v>
      </c>
      <c r="P44" s="108">
        <f>I44+D44+'ACP_PS_11(i)'!N44+'ACP_PS_11(i)'!I44+'ACP_PS_11(i)'!D44+ACP_MSME_10!D44+'ACP_Agri_9(ii)'!N44</f>
        <v>0</v>
      </c>
      <c r="Q44" s="108">
        <f>M44+J44+E44+'ACP_PS_11(i)'!O44+'ACP_PS_11(i)'!J44+'ACP_PS_11(i)'!E44+ACP_MSME_10!O44+'ACP_Agri_9(ii)'!O44</f>
        <v>0</v>
      </c>
      <c r="R44" s="108">
        <f>N44+K44+F44+'ACP_PS_11(i)'!P44+'ACP_PS_11(i)'!K44+'ACP_PS_11(i)'!F44+ACP_MSME_10!P44+'ACP_Agri_9(ii)'!P44</f>
        <v>0</v>
      </c>
      <c r="S44" s="109">
        <v>0</v>
      </c>
      <c r="U44" s="120"/>
    </row>
    <row r="45" spans="1:21" x14ac:dyDescent="0.2">
      <c r="A45" s="65">
        <v>39</v>
      </c>
      <c r="B45" s="66" t="s">
        <v>222</v>
      </c>
      <c r="C45" s="108">
        <v>378</v>
      </c>
      <c r="D45" s="108">
        <v>1048</v>
      </c>
      <c r="E45" s="108">
        <v>0</v>
      </c>
      <c r="F45" s="108">
        <v>0</v>
      </c>
      <c r="G45" s="109">
        <f t="shared" si="0"/>
        <v>0</v>
      </c>
      <c r="H45" s="108">
        <v>26</v>
      </c>
      <c r="I45" s="108">
        <v>111</v>
      </c>
      <c r="J45" s="108">
        <v>0</v>
      </c>
      <c r="K45" s="108">
        <v>0</v>
      </c>
      <c r="L45" s="109">
        <f t="shared" si="1"/>
        <v>0</v>
      </c>
      <c r="M45" s="108">
        <v>9</v>
      </c>
      <c r="N45" s="108">
        <v>1</v>
      </c>
      <c r="O45" s="108">
        <f>H45+C45+'ACP_PS_11(i)'!M45+'ACP_PS_11(i)'!H45+'ACP_PS_11(i)'!C45+ACP_MSME_10!C45+'ACP_Agri_9(ii)'!M45</f>
        <v>6950</v>
      </c>
      <c r="P45" s="108">
        <f>I45+D45+'ACP_PS_11(i)'!N45+'ACP_PS_11(i)'!I45+'ACP_PS_11(i)'!D45+ACP_MSME_10!D45+'ACP_Agri_9(ii)'!N45</f>
        <v>27452.73</v>
      </c>
      <c r="Q45" s="108">
        <f>M45+J45+E45+'ACP_PS_11(i)'!O45+'ACP_PS_11(i)'!J45+'ACP_PS_11(i)'!E45+ACP_MSME_10!O45+'ACP_Agri_9(ii)'!O45</f>
        <v>9915</v>
      </c>
      <c r="R45" s="108">
        <f>N45+K45+F45+'ACP_PS_11(i)'!P45+'ACP_PS_11(i)'!K45+'ACP_PS_11(i)'!F45+ACP_MSME_10!P45+'ACP_Agri_9(ii)'!P45</f>
        <v>30867.279999999999</v>
      </c>
      <c r="S45" s="109">
        <f t="shared" si="2"/>
        <v>112.43792511710129</v>
      </c>
      <c r="U45" s="120"/>
    </row>
    <row r="46" spans="1:21" x14ac:dyDescent="0.2">
      <c r="A46" s="65">
        <v>40</v>
      </c>
      <c r="B46" s="66" t="s">
        <v>223</v>
      </c>
      <c r="C46" s="108">
        <v>111</v>
      </c>
      <c r="D46" s="108">
        <v>302</v>
      </c>
      <c r="E46" s="108">
        <v>0</v>
      </c>
      <c r="F46" s="108">
        <v>0</v>
      </c>
      <c r="G46" s="109">
        <f t="shared" si="0"/>
        <v>0</v>
      </c>
      <c r="H46" s="108">
        <v>12</v>
      </c>
      <c r="I46" s="108">
        <v>51</v>
      </c>
      <c r="J46" s="108">
        <v>0</v>
      </c>
      <c r="K46" s="108">
        <v>0</v>
      </c>
      <c r="L46" s="109">
        <f t="shared" si="1"/>
        <v>0</v>
      </c>
      <c r="M46" s="108">
        <v>0</v>
      </c>
      <c r="N46" s="108">
        <v>0</v>
      </c>
      <c r="O46" s="108">
        <f>H46+C46+'ACP_PS_11(i)'!M46+'ACP_PS_11(i)'!H46+'ACP_PS_11(i)'!C46+ACP_MSME_10!C46+'ACP_Agri_9(ii)'!M46</f>
        <v>974</v>
      </c>
      <c r="P46" s="108">
        <f>I46+D46+'ACP_PS_11(i)'!N46+'ACP_PS_11(i)'!I46+'ACP_PS_11(i)'!D46+ACP_MSME_10!D46+'ACP_Agri_9(ii)'!N46</f>
        <v>4793.68</v>
      </c>
      <c r="Q46" s="108">
        <f>M46+J46+E46+'ACP_PS_11(i)'!O46+'ACP_PS_11(i)'!J46+'ACP_PS_11(i)'!E46+ACP_MSME_10!O46+'ACP_Agri_9(ii)'!O46</f>
        <v>47</v>
      </c>
      <c r="R46" s="108">
        <f>N46+K46+F46+'ACP_PS_11(i)'!P46+'ACP_PS_11(i)'!K46+'ACP_PS_11(i)'!F46+ACP_MSME_10!P46+'ACP_Agri_9(ii)'!P46</f>
        <v>290</v>
      </c>
      <c r="S46" s="109">
        <f t="shared" si="2"/>
        <v>6.0496320154870578</v>
      </c>
      <c r="U46" s="120"/>
    </row>
    <row r="47" spans="1:21" x14ac:dyDescent="0.2">
      <c r="A47" s="65">
        <v>41</v>
      </c>
      <c r="B47" s="66" t="s">
        <v>224</v>
      </c>
      <c r="C47" s="108">
        <v>133</v>
      </c>
      <c r="D47" s="108">
        <v>283</v>
      </c>
      <c r="E47" s="108">
        <v>0</v>
      </c>
      <c r="F47" s="108">
        <v>0</v>
      </c>
      <c r="G47" s="109">
        <f t="shared" si="0"/>
        <v>0</v>
      </c>
      <c r="H47" s="108">
        <v>14</v>
      </c>
      <c r="I47" s="108">
        <v>50</v>
      </c>
      <c r="J47" s="108">
        <v>0</v>
      </c>
      <c r="K47" s="108">
        <v>0</v>
      </c>
      <c r="L47" s="109">
        <f t="shared" si="1"/>
        <v>0</v>
      </c>
      <c r="M47" s="108">
        <v>90</v>
      </c>
      <c r="N47" s="108">
        <v>1961.97</v>
      </c>
      <c r="O47" s="108">
        <f>H47+C47+'ACP_PS_11(i)'!M47+'ACP_PS_11(i)'!H47+'ACP_PS_11(i)'!C47+ACP_MSME_10!C47+'ACP_Agri_9(ii)'!M47</f>
        <v>1673</v>
      </c>
      <c r="P47" s="108">
        <f>I47+D47+'ACP_PS_11(i)'!N47+'ACP_PS_11(i)'!I47+'ACP_PS_11(i)'!D47+ACP_MSME_10!D47+'ACP_Agri_9(ii)'!N47</f>
        <v>5936.02</v>
      </c>
      <c r="Q47" s="108">
        <f>M47+J47+E47+'ACP_PS_11(i)'!O47+'ACP_PS_11(i)'!J47+'ACP_PS_11(i)'!E47+ACP_MSME_10!O47+'ACP_Agri_9(ii)'!O47</f>
        <v>287</v>
      </c>
      <c r="R47" s="108">
        <f>N47+K47+F47+'ACP_PS_11(i)'!P47+'ACP_PS_11(i)'!K47+'ACP_PS_11(i)'!F47+ACP_MSME_10!P47+'ACP_Agri_9(ii)'!P47</f>
        <v>5252.3899999999994</v>
      </c>
      <c r="S47" s="109">
        <f t="shared" si="2"/>
        <v>88.483360905118232</v>
      </c>
      <c r="U47" s="120"/>
    </row>
    <row r="48" spans="1:21" x14ac:dyDescent="0.2">
      <c r="A48" s="65">
        <v>42</v>
      </c>
      <c r="B48" s="66" t="s">
        <v>225</v>
      </c>
      <c r="C48" s="108">
        <v>126</v>
      </c>
      <c r="D48" s="108">
        <v>248</v>
      </c>
      <c r="E48" s="108">
        <v>0</v>
      </c>
      <c r="F48" s="108">
        <v>0</v>
      </c>
      <c r="G48" s="109">
        <f t="shared" si="0"/>
        <v>0</v>
      </c>
      <c r="H48" s="108">
        <v>11</v>
      </c>
      <c r="I48" s="108">
        <v>15</v>
      </c>
      <c r="J48" s="108">
        <v>0</v>
      </c>
      <c r="K48" s="108">
        <v>0</v>
      </c>
      <c r="L48" s="109">
        <f t="shared" si="1"/>
        <v>0</v>
      </c>
      <c r="M48" s="108">
        <v>0</v>
      </c>
      <c r="N48" s="108">
        <v>0</v>
      </c>
      <c r="O48" s="108">
        <f>H48+C48+'ACP_PS_11(i)'!M48+'ACP_PS_11(i)'!H48+'ACP_PS_11(i)'!C48+ACP_MSME_10!C48+'ACP_Agri_9(ii)'!M48</f>
        <v>453</v>
      </c>
      <c r="P48" s="108">
        <f>I48+D48+'ACP_PS_11(i)'!N48+'ACP_PS_11(i)'!I48+'ACP_PS_11(i)'!D48+ACP_MSME_10!D48+'ACP_Agri_9(ii)'!N48</f>
        <v>1892</v>
      </c>
      <c r="Q48" s="108">
        <f>M48+J48+E48+'ACP_PS_11(i)'!O48+'ACP_PS_11(i)'!J48+'ACP_PS_11(i)'!E48+ACP_MSME_10!O48+'ACP_Agri_9(ii)'!O48</f>
        <v>2</v>
      </c>
      <c r="R48" s="108">
        <f>N48+K48+F48+'ACP_PS_11(i)'!P48+'ACP_PS_11(i)'!K48+'ACP_PS_11(i)'!F48+ACP_MSME_10!P48+'ACP_Agri_9(ii)'!P48</f>
        <v>2</v>
      </c>
      <c r="S48" s="109">
        <f t="shared" si="2"/>
        <v>0.10570824524312897</v>
      </c>
      <c r="U48" s="120"/>
    </row>
    <row r="49" spans="1:21" x14ac:dyDescent="0.2">
      <c r="A49" s="65">
        <v>43</v>
      </c>
      <c r="B49" s="66" t="s">
        <v>74</v>
      </c>
      <c r="C49" s="108">
        <v>204</v>
      </c>
      <c r="D49" s="108">
        <v>647</v>
      </c>
      <c r="E49" s="108">
        <v>0</v>
      </c>
      <c r="F49" s="108">
        <v>0</v>
      </c>
      <c r="G49" s="109">
        <f t="shared" si="0"/>
        <v>0</v>
      </c>
      <c r="H49" s="108">
        <v>14</v>
      </c>
      <c r="I49" s="108">
        <v>66</v>
      </c>
      <c r="J49" s="108">
        <v>0</v>
      </c>
      <c r="K49" s="108">
        <v>0</v>
      </c>
      <c r="L49" s="109">
        <f t="shared" si="1"/>
        <v>0</v>
      </c>
      <c r="M49" s="108">
        <v>26</v>
      </c>
      <c r="N49" s="108">
        <v>16</v>
      </c>
      <c r="O49" s="108">
        <f>H49+C49+'ACP_PS_11(i)'!M49+'ACP_PS_11(i)'!H49+'ACP_PS_11(i)'!C49+ACP_MSME_10!C49+'ACP_Agri_9(ii)'!M49</f>
        <v>9359</v>
      </c>
      <c r="P49" s="108">
        <f>I49+D49+'ACP_PS_11(i)'!N49+'ACP_PS_11(i)'!I49+'ACP_PS_11(i)'!D49+ACP_MSME_10!D49+'ACP_Agri_9(ii)'!N49</f>
        <v>43665.97</v>
      </c>
      <c r="Q49" s="108">
        <f>M49+J49+E49+'ACP_PS_11(i)'!O49+'ACP_PS_11(i)'!J49+'ACP_PS_11(i)'!E49+ACP_MSME_10!O49+'ACP_Agri_9(ii)'!O49</f>
        <v>8796</v>
      </c>
      <c r="R49" s="108">
        <f>N49+K49+F49+'ACP_PS_11(i)'!P49+'ACP_PS_11(i)'!K49+'ACP_PS_11(i)'!F49+ACP_MSME_10!P49+'ACP_Agri_9(ii)'!P49</f>
        <v>27469</v>
      </c>
      <c r="S49" s="109">
        <f t="shared" si="2"/>
        <v>62.907110502755344</v>
      </c>
      <c r="U49" s="120"/>
    </row>
    <row r="50" spans="1:21" x14ac:dyDescent="0.2">
      <c r="A50" s="65">
        <v>44</v>
      </c>
      <c r="B50" s="66" t="s">
        <v>226</v>
      </c>
      <c r="C50" s="108">
        <v>19</v>
      </c>
      <c r="D50" s="108">
        <v>54</v>
      </c>
      <c r="E50" s="108">
        <v>0</v>
      </c>
      <c r="F50" s="108">
        <v>0</v>
      </c>
      <c r="G50" s="109">
        <f t="shared" si="0"/>
        <v>0</v>
      </c>
      <c r="H50" s="108">
        <v>14</v>
      </c>
      <c r="I50" s="108">
        <v>5</v>
      </c>
      <c r="J50" s="108">
        <v>0</v>
      </c>
      <c r="K50" s="108">
        <v>0</v>
      </c>
      <c r="L50" s="109">
        <f t="shared" si="1"/>
        <v>0</v>
      </c>
      <c r="M50" s="108">
        <v>27</v>
      </c>
      <c r="N50" s="108">
        <v>652.70000000000005</v>
      </c>
      <c r="O50" s="108">
        <f>H50+C50+'ACP_PS_11(i)'!M50+'ACP_PS_11(i)'!H50+'ACP_PS_11(i)'!C50+ACP_MSME_10!C50+'ACP_Agri_9(ii)'!M50</f>
        <v>231</v>
      </c>
      <c r="P50" s="108">
        <f>I50+D50+'ACP_PS_11(i)'!N50+'ACP_PS_11(i)'!I50+'ACP_PS_11(i)'!D50+ACP_MSME_10!D50+'ACP_Agri_9(ii)'!N50</f>
        <v>1114</v>
      </c>
      <c r="Q50" s="108">
        <f>M50+J50+E50+'ACP_PS_11(i)'!O50+'ACP_PS_11(i)'!J50+'ACP_PS_11(i)'!E50+ACP_MSME_10!O50+'ACP_Agri_9(ii)'!O50</f>
        <v>38</v>
      </c>
      <c r="R50" s="108">
        <f>N50+K50+F50+'ACP_PS_11(i)'!P50+'ACP_PS_11(i)'!K50+'ACP_PS_11(i)'!F50+ACP_MSME_10!P50+'ACP_Agri_9(ii)'!P50</f>
        <v>857.7</v>
      </c>
      <c r="S50" s="109">
        <f t="shared" si="2"/>
        <v>76.992818671454216</v>
      </c>
      <c r="U50" s="120"/>
    </row>
    <row r="51" spans="1:21" x14ac:dyDescent="0.2">
      <c r="A51" s="65">
        <v>45</v>
      </c>
      <c r="B51" s="66" t="s">
        <v>227</v>
      </c>
      <c r="C51" s="108">
        <v>32</v>
      </c>
      <c r="D51" s="108">
        <v>165</v>
      </c>
      <c r="E51" s="108">
        <v>0</v>
      </c>
      <c r="F51" s="108">
        <v>0</v>
      </c>
      <c r="G51" s="109">
        <f t="shared" si="0"/>
        <v>0</v>
      </c>
      <c r="H51" s="108">
        <v>12</v>
      </c>
      <c r="I51" s="108">
        <v>4</v>
      </c>
      <c r="J51" s="108">
        <v>0</v>
      </c>
      <c r="K51" s="108">
        <v>0</v>
      </c>
      <c r="L51" s="109">
        <f t="shared" si="1"/>
        <v>0</v>
      </c>
      <c r="M51" s="108">
        <v>25973</v>
      </c>
      <c r="N51" s="108">
        <v>5317</v>
      </c>
      <c r="O51" s="108">
        <f>H51+C51+'ACP_PS_11(i)'!M51+'ACP_PS_11(i)'!H51+'ACP_PS_11(i)'!C51+ACP_MSME_10!C51+'ACP_Agri_9(ii)'!M51</f>
        <v>719</v>
      </c>
      <c r="P51" s="108">
        <f>I51+D51+'ACP_PS_11(i)'!N51+'ACP_PS_11(i)'!I51+'ACP_PS_11(i)'!D51+ACP_MSME_10!D51+'ACP_Agri_9(ii)'!N51</f>
        <v>1935.51</v>
      </c>
      <c r="Q51" s="108">
        <f>M51+J51+E51+'ACP_PS_11(i)'!O51+'ACP_PS_11(i)'!J51+'ACP_PS_11(i)'!E51+ACP_MSME_10!O51+'ACP_Agri_9(ii)'!O51</f>
        <v>28848</v>
      </c>
      <c r="R51" s="108">
        <f>N51+K51+F51+'ACP_PS_11(i)'!P51+'ACP_PS_11(i)'!K51+'ACP_PS_11(i)'!F51+ACP_MSME_10!P51+'ACP_Agri_9(ii)'!P51</f>
        <v>19866.34</v>
      </c>
      <c r="S51" s="109">
        <f t="shared" si="2"/>
        <v>1026.4137100815806</v>
      </c>
      <c r="U51" s="120"/>
    </row>
    <row r="52" spans="1:21" s="117" customFormat="1" x14ac:dyDescent="0.2">
      <c r="A52" s="65">
        <v>46</v>
      </c>
      <c r="B52" s="66" t="s">
        <v>228</v>
      </c>
      <c r="C52" s="108">
        <v>63</v>
      </c>
      <c r="D52" s="108">
        <v>167</v>
      </c>
      <c r="E52" s="108">
        <v>0</v>
      </c>
      <c r="F52" s="108">
        <v>0</v>
      </c>
      <c r="G52" s="109">
        <f t="shared" si="0"/>
        <v>0</v>
      </c>
      <c r="H52" s="108">
        <v>12</v>
      </c>
      <c r="I52" s="108">
        <v>32</v>
      </c>
      <c r="J52" s="108">
        <v>0</v>
      </c>
      <c r="K52" s="108">
        <v>0</v>
      </c>
      <c r="L52" s="109">
        <f t="shared" si="1"/>
        <v>0</v>
      </c>
      <c r="M52" s="108">
        <v>0</v>
      </c>
      <c r="N52" s="108">
        <v>0</v>
      </c>
      <c r="O52" s="108">
        <f>H52+C52+'ACP_PS_11(i)'!M52+'ACP_PS_11(i)'!H52+'ACP_PS_11(i)'!C52+ACP_MSME_10!C52+'ACP_Agri_9(ii)'!M52</f>
        <v>593</v>
      </c>
      <c r="P52" s="108">
        <f>I52+D52+'ACP_PS_11(i)'!N52+'ACP_PS_11(i)'!I52+'ACP_PS_11(i)'!D52+ACP_MSME_10!D52+'ACP_Agri_9(ii)'!N52</f>
        <v>2565.06</v>
      </c>
      <c r="Q52" s="108">
        <f>M52+J52+E52+'ACP_PS_11(i)'!O52+'ACP_PS_11(i)'!J52+'ACP_PS_11(i)'!E52+ACP_MSME_10!O52+'ACP_Agri_9(ii)'!O52</f>
        <v>0</v>
      </c>
      <c r="R52" s="108">
        <f>N52+K52+F52+'ACP_PS_11(i)'!P52+'ACP_PS_11(i)'!K52+'ACP_PS_11(i)'!F52+ACP_MSME_10!P52+'ACP_Agri_9(ii)'!P52</f>
        <v>0</v>
      </c>
      <c r="S52" s="109">
        <f t="shared" si="2"/>
        <v>0</v>
      </c>
      <c r="U52" s="120"/>
    </row>
    <row r="53" spans="1:21" x14ac:dyDescent="0.2">
      <c r="A53" s="65">
        <v>47</v>
      </c>
      <c r="B53" s="66" t="s">
        <v>78</v>
      </c>
      <c r="C53" s="108">
        <v>0</v>
      </c>
      <c r="D53" s="108">
        <v>0</v>
      </c>
      <c r="E53" s="108">
        <v>0</v>
      </c>
      <c r="F53" s="108">
        <v>0</v>
      </c>
      <c r="G53" s="109">
        <v>0</v>
      </c>
      <c r="H53" s="108">
        <v>0</v>
      </c>
      <c r="I53" s="108">
        <v>0</v>
      </c>
      <c r="J53" s="108">
        <v>0</v>
      </c>
      <c r="K53" s="108">
        <v>0</v>
      </c>
      <c r="L53" s="109">
        <v>0</v>
      </c>
      <c r="M53" s="108">
        <v>0</v>
      </c>
      <c r="N53" s="108">
        <v>0</v>
      </c>
      <c r="O53" s="108">
        <f>H53+C53+'ACP_PS_11(i)'!M53+'ACP_PS_11(i)'!H53+'ACP_PS_11(i)'!C53+ACP_MSME_10!C53+'ACP_Agri_9(ii)'!M53</f>
        <v>0</v>
      </c>
      <c r="P53" s="108">
        <f>I53+D53+'ACP_PS_11(i)'!N53+'ACP_PS_11(i)'!I53+'ACP_PS_11(i)'!D53+ACP_MSME_10!D53+'ACP_Agri_9(ii)'!N53</f>
        <v>0</v>
      </c>
      <c r="Q53" s="108">
        <f>M53+J53+E53+'ACP_PS_11(i)'!O53+'ACP_PS_11(i)'!J53+'ACP_PS_11(i)'!E53+ACP_MSME_10!O53+'ACP_Agri_9(ii)'!O53</f>
        <v>0</v>
      </c>
      <c r="R53" s="108">
        <f>N53+K53+F53+'ACP_PS_11(i)'!P53+'ACP_PS_11(i)'!K53+'ACP_PS_11(i)'!F53+ACP_MSME_10!P53+'ACP_Agri_9(ii)'!P53</f>
        <v>0</v>
      </c>
      <c r="S53" s="109">
        <v>0</v>
      </c>
      <c r="U53" s="120"/>
    </row>
    <row r="54" spans="1:21" x14ac:dyDescent="0.2">
      <c r="A54" s="65">
        <v>48</v>
      </c>
      <c r="B54" s="6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v>0</v>
      </c>
      <c r="H54" s="108">
        <v>0</v>
      </c>
      <c r="I54" s="108">
        <v>0</v>
      </c>
      <c r="J54" s="108">
        <v>0</v>
      </c>
      <c r="K54" s="108">
        <v>0</v>
      </c>
      <c r="L54" s="109">
        <v>0</v>
      </c>
      <c r="M54" s="108">
        <v>0</v>
      </c>
      <c r="N54" s="108">
        <v>0</v>
      </c>
      <c r="O54" s="108">
        <f>H54+C54+'ACP_PS_11(i)'!M54+'ACP_PS_11(i)'!H54+'ACP_PS_11(i)'!C54+ACP_MSME_10!C54+'ACP_Agri_9(ii)'!M54</f>
        <v>0</v>
      </c>
      <c r="P54" s="108">
        <f>I54+D54+'ACP_PS_11(i)'!N54+'ACP_PS_11(i)'!I54+'ACP_PS_11(i)'!D54+ACP_MSME_10!D54+'ACP_Agri_9(ii)'!N54</f>
        <v>0</v>
      </c>
      <c r="Q54" s="108">
        <f>M54+J54+E54+'ACP_PS_11(i)'!O54+'ACP_PS_11(i)'!J54+'ACP_PS_11(i)'!E54+ACP_MSME_10!O54+'ACP_Agri_9(ii)'!O54</f>
        <v>0</v>
      </c>
      <c r="R54" s="108">
        <f>N54+K54+F54+'ACP_PS_11(i)'!P54+'ACP_PS_11(i)'!K54+'ACP_PS_11(i)'!F54+ACP_MSME_10!P54+'ACP_Agri_9(ii)'!P54</f>
        <v>0</v>
      </c>
      <c r="S54" s="109">
        <v>0</v>
      </c>
      <c r="U54" s="120"/>
    </row>
    <row r="55" spans="1:21" x14ac:dyDescent="0.2">
      <c r="A55" s="65">
        <v>49</v>
      </c>
      <c r="B55" s="66" t="s">
        <v>77</v>
      </c>
      <c r="C55" s="108">
        <v>104</v>
      </c>
      <c r="D55" s="108">
        <v>626</v>
      </c>
      <c r="E55" s="108">
        <v>0</v>
      </c>
      <c r="F55" s="108">
        <v>0</v>
      </c>
      <c r="G55" s="109">
        <f t="shared" si="0"/>
        <v>0</v>
      </c>
      <c r="H55" s="108">
        <v>14</v>
      </c>
      <c r="I55" s="108">
        <v>63</v>
      </c>
      <c r="J55" s="108">
        <v>0</v>
      </c>
      <c r="K55" s="108">
        <v>0</v>
      </c>
      <c r="L55" s="109">
        <f t="shared" si="1"/>
        <v>0</v>
      </c>
      <c r="M55" s="108">
        <v>0</v>
      </c>
      <c r="N55" s="108">
        <v>0</v>
      </c>
      <c r="O55" s="108">
        <f>H55+C55+'ACP_PS_11(i)'!M55+'ACP_PS_11(i)'!H55+'ACP_PS_11(i)'!C55+ACP_MSME_10!C55+'ACP_Agri_9(ii)'!M55</f>
        <v>2728</v>
      </c>
      <c r="P55" s="108">
        <f>I55+D55+'ACP_PS_11(i)'!N55+'ACP_PS_11(i)'!I55+'ACP_PS_11(i)'!D55+ACP_MSME_10!D55+'ACP_Agri_9(ii)'!N55</f>
        <v>9469.06</v>
      </c>
      <c r="Q55" s="108">
        <f>M55+J55+E55+'ACP_PS_11(i)'!O55+'ACP_PS_11(i)'!J55+'ACP_PS_11(i)'!E55+ACP_MSME_10!O55+'ACP_Agri_9(ii)'!O55</f>
        <v>6186</v>
      </c>
      <c r="R55" s="108">
        <f>N55+K55+F55+'ACP_PS_11(i)'!P55+'ACP_PS_11(i)'!K55+'ACP_PS_11(i)'!F55+ACP_MSME_10!P55+'ACP_Agri_9(ii)'!P55</f>
        <v>9087</v>
      </c>
      <c r="S55" s="109">
        <f t="shared" si="2"/>
        <v>95.965175001531307</v>
      </c>
      <c r="U55" s="120"/>
    </row>
    <row r="56" spans="1:21" s="117" customFormat="1" x14ac:dyDescent="0.2">
      <c r="A56" s="384"/>
      <c r="B56" s="68" t="s">
        <v>408</v>
      </c>
      <c r="C56" s="115">
        <f>SUM(C34:C55)</f>
        <v>17748</v>
      </c>
      <c r="D56" s="115">
        <f t="shared" ref="D56:N56" si="4">SUM(D34:D55)</f>
        <v>35307</v>
      </c>
      <c r="E56" s="115">
        <f t="shared" si="4"/>
        <v>0</v>
      </c>
      <c r="F56" s="115">
        <f t="shared" si="4"/>
        <v>0</v>
      </c>
      <c r="G56" s="106">
        <f t="shared" si="0"/>
        <v>0</v>
      </c>
      <c r="H56" s="115">
        <f t="shared" si="4"/>
        <v>448</v>
      </c>
      <c r="I56" s="115">
        <f t="shared" si="4"/>
        <v>2587</v>
      </c>
      <c r="J56" s="115">
        <f t="shared" si="4"/>
        <v>0</v>
      </c>
      <c r="K56" s="115">
        <f t="shared" si="4"/>
        <v>0</v>
      </c>
      <c r="L56" s="106">
        <f t="shared" si="1"/>
        <v>0</v>
      </c>
      <c r="M56" s="115">
        <f t="shared" si="4"/>
        <v>75359</v>
      </c>
      <c r="N56" s="115">
        <f t="shared" si="4"/>
        <v>15465.61</v>
      </c>
      <c r="O56" s="115">
        <f>H56+C56+'ACP_PS_11(i)'!M56+'ACP_PS_11(i)'!H56+'ACP_PS_11(i)'!C56+ACP_MSME_10!C56+'ACP_Agri_9(ii)'!M56</f>
        <v>182144</v>
      </c>
      <c r="P56" s="115">
        <f>I56+D56+'ACP_PS_11(i)'!N56+'ACP_PS_11(i)'!I56+'ACP_PS_11(i)'!D56+ACP_MSME_10!D56+'ACP_Agri_9(ii)'!N56</f>
        <v>682308.86</v>
      </c>
      <c r="Q56" s="115">
        <f>M56+J56+E56+'ACP_PS_11(i)'!O56+'ACP_PS_11(i)'!J56+'ACP_PS_11(i)'!E56+ACP_MSME_10!O56+'ACP_Agri_9(ii)'!O56</f>
        <v>288687</v>
      </c>
      <c r="R56" s="115">
        <f>N56+K56+F56+'ACP_PS_11(i)'!P56+'ACP_PS_11(i)'!K56+'ACP_PS_11(i)'!F56+ACP_MSME_10!P56+'ACP_Agri_9(ii)'!P56</f>
        <v>647131.11</v>
      </c>
      <c r="S56" s="106">
        <f t="shared" si="2"/>
        <v>94.844307019551238</v>
      </c>
      <c r="U56" s="121"/>
    </row>
    <row r="57" spans="1:21" x14ac:dyDescent="0.2">
      <c r="A57" s="65">
        <v>50</v>
      </c>
      <c r="B57" s="66" t="s">
        <v>47</v>
      </c>
      <c r="C57" s="108">
        <v>9901</v>
      </c>
      <c r="D57" s="108">
        <v>18066</v>
      </c>
      <c r="E57" s="108">
        <v>0</v>
      </c>
      <c r="F57" s="108">
        <v>0</v>
      </c>
      <c r="G57" s="109">
        <f t="shared" si="0"/>
        <v>0</v>
      </c>
      <c r="H57" s="108">
        <v>129</v>
      </c>
      <c r="I57" s="108">
        <v>386</v>
      </c>
      <c r="J57" s="108">
        <v>0</v>
      </c>
      <c r="K57" s="108">
        <v>0</v>
      </c>
      <c r="L57" s="109">
        <f t="shared" si="1"/>
        <v>0</v>
      </c>
      <c r="M57" s="108">
        <v>617</v>
      </c>
      <c r="N57" s="108">
        <v>553</v>
      </c>
      <c r="O57" s="108">
        <f>H57+C57+'ACP_PS_11(i)'!M57+'ACP_PS_11(i)'!H57+'ACP_PS_11(i)'!C57+ACP_MSME_10!C57+'ACP_Agri_9(ii)'!M57</f>
        <v>109306</v>
      </c>
      <c r="P57" s="108">
        <f>I57+D57+'ACP_PS_11(i)'!N57+'ACP_PS_11(i)'!I57+'ACP_PS_11(i)'!D57+ACP_MSME_10!D57+'ACP_Agri_9(ii)'!N57</f>
        <v>359955.48</v>
      </c>
      <c r="Q57" s="108">
        <f>M57+J57+E57+'ACP_PS_11(i)'!O57+'ACP_PS_11(i)'!J57+'ACP_PS_11(i)'!E57+ACP_MSME_10!O57+'ACP_Agri_9(ii)'!O57</f>
        <v>64775</v>
      </c>
      <c r="R57" s="108">
        <f>N57+K57+F57+'ACP_PS_11(i)'!P57+'ACP_PS_11(i)'!K57+'ACP_PS_11(i)'!F57+ACP_MSME_10!P57+'ACP_Agri_9(ii)'!P57</f>
        <v>90943</v>
      </c>
      <c r="S57" s="109">
        <f t="shared" si="2"/>
        <v>25.265068891297336</v>
      </c>
      <c r="U57" s="120"/>
    </row>
    <row r="58" spans="1:21" s="117" customFormat="1" x14ac:dyDescent="0.2">
      <c r="A58" s="65">
        <v>51</v>
      </c>
      <c r="B58" s="66" t="s">
        <v>230</v>
      </c>
      <c r="C58" s="108">
        <v>3288</v>
      </c>
      <c r="D58" s="108">
        <v>3337</v>
      </c>
      <c r="E58" s="108">
        <v>0</v>
      </c>
      <c r="F58" s="108">
        <v>0</v>
      </c>
      <c r="G58" s="109">
        <f t="shared" si="0"/>
        <v>0</v>
      </c>
      <c r="H58" s="108">
        <v>111</v>
      </c>
      <c r="I58" s="108">
        <v>325</v>
      </c>
      <c r="J58" s="108">
        <v>0</v>
      </c>
      <c r="K58" s="108">
        <v>0</v>
      </c>
      <c r="L58" s="109">
        <f t="shared" si="1"/>
        <v>0</v>
      </c>
      <c r="M58" s="108">
        <v>86619</v>
      </c>
      <c r="N58" s="108">
        <v>36827</v>
      </c>
      <c r="O58" s="108">
        <f>H58+C58+'ACP_PS_11(i)'!M58+'ACP_PS_11(i)'!H58+'ACP_PS_11(i)'!C58+ACP_MSME_10!C58+'ACP_Agri_9(ii)'!M58</f>
        <v>167740</v>
      </c>
      <c r="P58" s="108">
        <f>I58+D58+'ACP_PS_11(i)'!N58+'ACP_PS_11(i)'!I58+'ACP_PS_11(i)'!D58+ACP_MSME_10!D58+'ACP_Agri_9(ii)'!N58</f>
        <v>326277.7</v>
      </c>
      <c r="Q58" s="108">
        <f>M58+J58+E58+'ACP_PS_11(i)'!O58+'ACP_PS_11(i)'!J58+'ACP_PS_11(i)'!E58+ACP_MSME_10!O58+'ACP_Agri_9(ii)'!O58</f>
        <v>285316</v>
      </c>
      <c r="R58" s="108">
        <f>N58+K58+F58+'ACP_PS_11(i)'!P58+'ACP_PS_11(i)'!K58+'ACP_PS_11(i)'!F58+ACP_MSME_10!P58+'ACP_Agri_9(ii)'!P58</f>
        <v>113208</v>
      </c>
      <c r="S58" s="109">
        <f t="shared" si="2"/>
        <v>34.696824208335414</v>
      </c>
      <c r="U58" s="120"/>
    </row>
    <row r="59" spans="1:21" s="117" customFormat="1" x14ac:dyDescent="0.2">
      <c r="A59" s="65">
        <v>52</v>
      </c>
      <c r="B59" s="66" t="s">
        <v>53</v>
      </c>
      <c r="C59" s="108">
        <v>6141</v>
      </c>
      <c r="D59" s="108">
        <v>11237</v>
      </c>
      <c r="E59" s="108">
        <v>0</v>
      </c>
      <c r="F59" s="108">
        <v>0</v>
      </c>
      <c r="G59" s="109">
        <f t="shared" si="0"/>
        <v>0</v>
      </c>
      <c r="H59" s="108">
        <v>284</v>
      </c>
      <c r="I59" s="108">
        <v>693</v>
      </c>
      <c r="J59" s="108"/>
      <c r="K59" s="108"/>
      <c r="L59" s="109">
        <f t="shared" si="1"/>
        <v>0</v>
      </c>
      <c r="M59" s="108">
        <v>0</v>
      </c>
      <c r="N59" s="108">
        <v>0</v>
      </c>
      <c r="O59" s="108">
        <f>H59+C59+'ACP_PS_11(i)'!M59+'ACP_PS_11(i)'!H59+'ACP_PS_11(i)'!C59+ACP_MSME_10!C59+'ACP_Agri_9(ii)'!M59</f>
        <v>136956.042837079</v>
      </c>
      <c r="P59" s="108">
        <f>I59+D59+'ACP_PS_11(i)'!N59+'ACP_PS_11(i)'!I59+'ACP_PS_11(i)'!D59+ACP_MSME_10!D59+'ACP_Agri_9(ii)'!N59</f>
        <v>487635.97</v>
      </c>
      <c r="Q59" s="108">
        <f>M59+J59+E59+'ACP_PS_11(i)'!O59+'ACP_PS_11(i)'!J59+'ACP_PS_11(i)'!E59+ACP_MSME_10!O59+'ACP_Agri_9(ii)'!O59</f>
        <v>121766</v>
      </c>
      <c r="R59" s="108">
        <f>N59+K59+F59+'ACP_PS_11(i)'!P59+'ACP_PS_11(i)'!K59+'ACP_PS_11(i)'!F59+ACP_MSME_10!P59+'ACP_Agri_9(ii)'!P59</f>
        <v>170743.96</v>
      </c>
      <c r="S59" s="109">
        <f t="shared" si="2"/>
        <v>35.014636020390377</v>
      </c>
      <c r="U59" s="120"/>
    </row>
    <row r="60" spans="1:21" s="117" customFormat="1" x14ac:dyDescent="0.2">
      <c r="A60" s="384"/>
      <c r="B60" s="68" t="s">
        <v>415</v>
      </c>
      <c r="C60" s="115">
        <f>SUM(C57:C59)</f>
        <v>19330</v>
      </c>
      <c r="D60" s="115">
        <f t="shared" ref="D60:N60" si="5">SUM(D57:D59)</f>
        <v>32640</v>
      </c>
      <c r="E60" s="115">
        <f t="shared" si="5"/>
        <v>0</v>
      </c>
      <c r="F60" s="115">
        <f t="shared" si="5"/>
        <v>0</v>
      </c>
      <c r="G60" s="106">
        <f t="shared" si="0"/>
        <v>0</v>
      </c>
      <c r="H60" s="115">
        <f t="shared" si="5"/>
        <v>524</v>
      </c>
      <c r="I60" s="115">
        <f t="shared" si="5"/>
        <v>1404</v>
      </c>
      <c r="J60" s="115">
        <f t="shared" si="5"/>
        <v>0</v>
      </c>
      <c r="K60" s="115">
        <f t="shared" si="5"/>
        <v>0</v>
      </c>
      <c r="L60" s="106">
        <f t="shared" si="1"/>
        <v>0</v>
      </c>
      <c r="M60" s="115">
        <f t="shared" si="5"/>
        <v>87236</v>
      </c>
      <c r="N60" s="115">
        <f t="shared" si="5"/>
        <v>37380</v>
      </c>
      <c r="O60" s="115">
        <f>H60+C60+'ACP_PS_11(i)'!M60+'ACP_PS_11(i)'!H60+'ACP_PS_11(i)'!C60+ACP_MSME_10!C60+'ACP_Agri_9(ii)'!M60</f>
        <v>414002.04283707903</v>
      </c>
      <c r="P60" s="115">
        <f>I60+D60+'ACP_PS_11(i)'!N60+'ACP_PS_11(i)'!I60+'ACP_PS_11(i)'!D60+ACP_MSME_10!D60+'ACP_Agri_9(ii)'!N60</f>
        <v>1173869.1499999999</v>
      </c>
      <c r="Q60" s="115">
        <f>M60+J60+E60+'ACP_PS_11(i)'!O60+'ACP_PS_11(i)'!J60+'ACP_PS_11(i)'!E60+ACP_MSME_10!O60+'ACP_Agri_9(ii)'!O60</f>
        <v>471857</v>
      </c>
      <c r="R60" s="115">
        <f>N60+K60+F60+'ACP_PS_11(i)'!P60+'ACP_PS_11(i)'!K60+'ACP_PS_11(i)'!F60+ACP_MSME_10!P60+'ACP_Agri_9(ii)'!P60</f>
        <v>374894.95999999996</v>
      </c>
      <c r="S60" s="106">
        <f t="shared" si="2"/>
        <v>31.936690729115764</v>
      </c>
    </row>
    <row r="61" spans="1:21" x14ac:dyDescent="0.2">
      <c r="A61" s="65">
        <v>53</v>
      </c>
      <c r="B61" s="66" t="s">
        <v>409</v>
      </c>
      <c r="C61" s="108">
        <v>9670</v>
      </c>
      <c r="D61" s="108">
        <v>5919</v>
      </c>
      <c r="E61" s="108">
        <v>0</v>
      </c>
      <c r="F61" s="108">
        <v>0</v>
      </c>
      <c r="G61" s="109">
        <f t="shared" si="0"/>
        <v>0</v>
      </c>
      <c r="H61" s="108">
        <v>0</v>
      </c>
      <c r="I61" s="108">
        <v>0</v>
      </c>
      <c r="J61" s="108">
        <v>0</v>
      </c>
      <c r="K61" s="108"/>
      <c r="L61" s="109">
        <v>0</v>
      </c>
      <c r="M61" s="108">
        <v>0</v>
      </c>
      <c r="N61" s="108">
        <v>0</v>
      </c>
      <c r="O61" s="108">
        <f>H61+C61+'ACP_PS_11(i)'!M61+'ACP_PS_11(i)'!H61+'ACP_PS_11(i)'!C61+ACP_MSME_10!C61+'ACP_Agri_9(ii)'!M61</f>
        <v>748449</v>
      </c>
      <c r="P61" s="108">
        <f>I61+D61+'ACP_PS_11(i)'!N61+'ACP_PS_11(i)'!I61+'ACP_PS_11(i)'!D61+ACP_MSME_10!D61+'ACP_Agri_9(ii)'!N61</f>
        <v>2275966.9900000002</v>
      </c>
      <c r="Q61" s="108">
        <f>M61+J61+E61+'ACP_PS_11(i)'!O61+'ACP_PS_11(i)'!J61+'ACP_PS_11(i)'!E61+ACP_MSME_10!O61+'ACP_Agri_9(ii)'!O61</f>
        <v>663049</v>
      </c>
      <c r="R61" s="108">
        <f>N61+K61+F61+'ACP_PS_11(i)'!P61+'ACP_PS_11(i)'!K61+'ACP_PS_11(i)'!F61+ACP_MSME_10!P61+'ACP_Agri_9(ii)'!P61</f>
        <v>834389.87</v>
      </c>
      <c r="S61" s="109">
        <f t="shared" si="2"/>
        <v>36.660895068605541</v>
      </c>
    </row>
    <row r="62" spans="1:21" s="117" customFormat="1" x14ac:dyDescent="0.2">
      <c r="A62" s="384"/>
      <c r="B62" s="68" t="s">
        <v>410</v>
      </c>
      <c r="C62" s="115">
        <f>C61</f>
        <v>9670</v>
      </c>
      <c r="D62" s="115">
        <f t="shared" ref="D62:N62" si="6">D61</f>
        <v>5919</v>
      </c>
      <c r="E62" s="115">
        <f t="shared" si="6"/>
        <v>0</v>
      </c>
      <c r="F62" s="115">
        <f t="shared" si="6"/>
        <v>0</v>
      </c>
      <c r="G62" s="106">
        <f t="shared" si="0"/>
        <v>0</v>
      </c>
      <c r="H62" s="115">
        <f t="shared" si="6"/>
        <v>0</v>
      </c>
      <c r="I62" s="115">
        <f t="shared" si="6"/>
        <v>0</v>
      </c>
      <c r="J62" s="115">
        <f t="shared" si="6"/>
        <v>0</v>
      </c>
      <c r="K62" s="115">
        <f t="shared" si="6"/>
        <v>0</v>
      </c>
      <c r="L62" s="106">
        <v>0</v>
      </c>
      <c r="M62" s="115">
        <f t="shared" si="6"/>
        <v>0</v>
      </c>
      <c r="N62" s="115">
        <f t="shared" si="6"/>
        <v>0</v>
      </c>
      <c r="O62" s="115">
        <f>H62+C62+'ACP_PS_11(i)'!M62+'ACP_PS_11(i)'!H62+'ACP_PS_11(i)'!C62+ACP_MSME_10!C62+'ACP_Agri_9(ii)'!M62</f>
        <v>748449</v>
      </c>
      <c r="P62" s="115">
        <f>I62+D62+'ACP_PS_11(i)'!N62+'ACP_PS_11(i)'!I62+'ACP_PS_11(i)'!D62+ACP_MSME_10!D62+'ACP_Agri_9(ii)'!N62</f>
        <v>2275966.9900000002</v>
      </c>
      <c r="Q62" s="108">
        <f>M62+J62+E62+'ACP_PS_11(i)'!O62+'ACP_PS_11(i)'!J62+'ACP_PS_11(i)'!E62+ACP_MSME_10!O62+'ACP_Agri_9(ii)'!O62</f>
        <v>663049</v>
      </c>
      <c r="R62" s="108">
        <f>N62+K62+F62+'ACP_PS_11(i)'!P62+'ACP_PS_11(i)'!K62+'ACP_PS_11(i)'!F62+ACP_MSME_10!P62+'ACP_Agri_9(ii)'!P62</f>
        <v>834389.87</v>
      </c>
      <c r="S62" s="106">
        <f t="shared" si="2"/>
        <v>36.660895068605541</v>
      </c>
    </row>
    <row r="63" spans="1:21" s="117" customFormat="1" x14ac:dyDescent="0.2">
      <c r="A63" s="384"/>
      <c r="B63" s="68" t="s">
        <v>411</v>
      </c>
      <c r="C63" s="115">
        <f>C62+C60+C56+C33</f>
        <v>220178</v>
      </c>
      <c r="D63" s="115">
        <f t="shared" ref="D63:N63" si="7">D62+D60+D56+D33</f>
        <v>391420</v>
      </c>
      <c r="E63" s="115">
        <f t="shared" si="7"/>
        <v>402</v>
      </c>
      <c r="F63" s="115">
        <f t="shared" si="7"/>
        <v>1532.14</v>
      </c>
      <c r="G63" s="106">
        <f t="shared" si="0"/>
        <v>0.39143119922334063</v>
      </c>
      <c r="H63" s="115">
        <f t="shared" si="7"/>
        <v>5277</v>
      </c>
      <c r="I63" s="115">
        <f t="shared" si="7"/>
        <v>27077</v>
      </c>
      <c r="J63" s="115">
        <f t="shared" si="7"/>
        <v>58</v>
      </c>
      <c r="K63" s="115">
        <f t="shared" si="7"/>
        <v>82.86</v>
      </c>
      <c r="L63" s="106">
        <f t="shared" si="1"/>
        <v>0.30601617609040882</v>
      </c>
      <c r="M63" s="115">
        <f t="shared" si="7"/>
        <v>222140</v>
      </c>
      <c r="N63" s="115">
        <f t="shared" si="7"/>
        <v>252580.27999999997</v>
      </c>
      <c r="O63" s="115">
        <f>H63+C63+'ACP_PS_11(i)'!M63+'ACP_PS_11(i)'!H63+'ACP_PS_11(i)'!C63+ACP_MSME_10!C63+'ACP_Agri_9(ii)'!M63</f>
        <v>3424775.0428370791</v>
      </c>
      <c r="P63" s="115">
        <f>I63+D63+'ACP_PS_11(i)'!N63+'ACP_PS_11(i)'!I63+'ACP_PS_11(i)'!D63+ACP_MSME_10!D63+'ACP_Agri_9(ii)'!N63</f>
        <v>10909732.26</v>
      </c>
      <c r="Q63" s="115">
        <f>M63+J63+E63+'ACP_PS_11(i)'!O63+'ACP_PS_11(i)'!J63+'ACP_PS_11(i)'!E63+ACP_MSME_10!O63+'ACP_Agri_9(ii)'!O63</f>
        <v>2908184</v>
      </c>
      <c r="R63" s="115">
        <f>N63+K63+F63+'ACP_PS_11(i)'!P63+'ACP_PS_11(i)'!K63+'ACP_PS_11(i)'!F63+ACP_MSME_10!P63+'ACP_Agri_9(ii)'!P63</f>
        <v>4723380.0199999996</v>
      </c>
      <c r="S63" s="106">
        <f t="shared" si="2"/>
        <v>43.295104842472085</v>
      </c>
    </row>
    <row r="64" spans="1:21" x14ac:dyDescent="0.2">
      <c r="A64" s="69"/>
      <c r="O64" s="173"/>
      <c r="P64" s="173"/>
    </row>
    <row r="65" spans="5:19" x14ac:dyDescent="0.2">
      <c r="E65" s="120">
        <v>66</v>
      </c>
      <c r="F65" s="120">
        <v>1058</v>
      </c>
      <c r="H65" s="120">
        <f>5277-4963</f>
        <v>314</v>
      </c>
      <c r="I65" s="120">
        <v>27077</v>
      </c>
      <c r="O65" s="120">
        <v>57369</v>
      </c>
      <c r="P65" s="120">
        <v>325152</v>
      </c>
      <c r="Q65" s="121">
        <v>252183</v>
      </c>
      <c r="R65" s="121">
        <v>1514569.65</v>
      </c>
    </row>
    <row r="66" spans="5:19" x14ac:dyDescent="0.2">
      <c r="E66" s="120">
        <f>E63-E65</f>
        <v>336</v>
      </c>
      <c r="F66" s="120">
        <f>F63-F65</f>
        <v>474.1400000000001</v>
      </c>
    </row>
    <row r="67" spans="5:19" x14ac:dyDescent="0.2">
      <c r="O67" s="120">
        <f>O63+O65</f>
        <v>3482144.0428370791</v>
      </c>
      <c r="P67" s="120">
        <f t="shared" ref="P67:R67" si="8">P63+P65</f>
        <v>11234884.26</v>
      </c>
      <c r="Q67" s="120">
        <f t="shared" si="8"/>
        <v>3160367</v>
      </c>
      <c r="R67" s="120">
        <f t="shared" si="8"/>
        <v>6237949.6699999999</v>
      </c>
      <c r="S67" s="118">
        <f>R67*100/P67</f>
        <v>55.52304345679125</v>
      </c>
    </row>
    <row r="70" spans="5:19" x14ac:dyDescent="0.2">
      <c r="M70" s="120">
        <v>294592</v>
      </c>
      <c r="N70" s="120">
        <v>337167.75</v>
      </c>
    </row>
  </sheetData>
  <mergeCells count="17">
    <mergeCell ref="S3:S5"/>
    <mergeCell ref="C4:D4"/>
    <mergeCell ref="E4:F4"/>
    <mergeCell ref="J4:K4"/>
    <mergeCell ref="M4:N4"/>
    <mergeCell ref="M3:N3"/>
    <mergeCell ref="O3:R3"/>
    <mergeCell ref="O4:P4"/>
    <mergeCell ref="G3:G5"/>
    <mergeCell ref="L3:L5"/>
    <mergeCell ref="A1:R1"/>
    <mergeCell ref="A3:A5"/>
    <mergeCell ref="B3:B5"/>
    <mergeCell ref="C3:F3"/>
    <mergeCell ref="Q4:R4"/>
    <mergeCell ref="H3:K3"/>
    <mergeCell ref="H4:I4"/>
  </mergeCells>
  <conditionalFormatting sqref="B6">
    <cfRule type="duplicateValues" dxfId="108" priority="3"/>
  </conditionalFormatting>
  <conditionalFormatting sqref="B22">
    <cfRule type="duplicateValues" dxfId="107" priority="4"/>
  </conditionalFormatting>
  <conditionalFormatting sqref="B33:B34 B26:B30">
    <cfRule type="duplicateValues" dxfId="106" priority="5"/>
  </conditionalFormatting>
  <conditionalFormatting sqref="B52">
    <cfRule type="duplicateValues" dxfId="105" priority="6"/>
  </conditionalFormatting>
  <conditionalFormatting sqref="B56">
    <cfRule type="duplicateValues" dxfId="104" priority="7"/>
  </conditionalFormatting>
  <conditionalFormatting sqref="B58">
    <cfRule type="duplicateValues" dxfId="103" priority="8"/>
  </conditionalFormatting>
  <conditionalFormatting sqref="S1:S1048576">
    <cfRule type="cellIs" dxfId="102" priority="2" stopIfTrue="1" operator="greaterThan">
      <formula>100</formula>
    </cfRule>
  </conditionalFormatting>
  <conditionalFormatting sqref="U1:U1048576">
    <cfRule type="cellIs" dxfId="101" priority="1" stopIfTrue="1" operator="lessThan">
      <formula>0</formula>
    </cfRule>
  </conditionalFormatting>
  <pageMargins left="1.75" right="0.2" top="0.25" bottom="0.25" header="0.3" footer="0.3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64"/>
  <sheetViews>
    <sheetView zoomScaleNormal="100" workbookViewId="0">
      <pane xSplit="2" ySplit="7" topLeftCell="F53" activePane="bottomRight" state="frozen"/>
      <selection pane="topRight" activeCell="C1" sqref="C1"/>
      <selection pane="bottomLeft" activeCell="A7" sqref="A7"/>
      <selection pane="bottomRight" activeCell="W63" sqref="W63:X63"/>
    </sheetView>
  </sheetViews>
  <sheetFormatPr defaultColWidth="4.42578125" defaultRowHeight="13.5" x14ac:dyDescent="0.2"/>
  <cols>
    <col min="1" max="1" width="4.42578125" style="71"/>
    <col min="2" max="2" width="21.85546875" style="71" bestFit="1" customWidth="1"/>
    <col min="3" max="3" width="11" style="120" bestFit="1" customWidth="1"/>
    <col min="4" max="4" width="9.85546875" style="120" bestFit="1" customWidth="1"/>
    <col min="5" max="5" width="7" style="120" bestFit="1" customWidth="1"/>
    <col min="6" max="6" width="8.7109375" style="120" bestFit="1" customWidth="1"/>
    <col min="7" max="7" width="5.85546875" style="120" bestFit="1" customWidth="1"/>
    <col min="8" max="8" width="7.7109375" style="120" bestFit="1" customWidth="1"/>
    <col min="9" max="9" width="5.85546875" style="120" bestFit="1" customWidth="1"/>
    <col min="10" max="10" width="8.42578125" style="120" customWidth="1"/>
    <col min="11" max="11" width="5.85546875" style="120" bestFit="1" customWidth="1"/>
    <col min="12" max="12" width="8.28515625" style="120" bestFit="1" customWidth="1"/>
    <col min="13" max="13" width="7.28515625" style="120" bestFit="1" customWidth="1"/>
    <col min="14" max="14" width="8.7109375" style="120" bestFit="1" customWidth="1"/>
    <col min="15" max="15" width="6.140625" style="120" bestFit="1" customWidth="1"/>
    <col min="16" max="16" width="7.28515625" style="120" bestFit="1" customWidth="1"/>
    <col min="17" max="17" width="7.7109375" style="120" bestFit="1" customWidth="1"/>
    <col min="18" max="20" width="9" style="120" bestFit="1" customWidth="1"/>
    <col min="21" max="21" width="8.7109375" style="120" bestFit="1" customWidth="1"/>
    <col min="22" max="22" width="8" style="120" customWidth="1"/>
    <col min="23" max="23" width="9.140625" style="121" bestFit="1" customWidth="1"/>
    <col min="24" max="24" width="10.5703125" style="121" bestFit="1" customWidth="1"/>
    <col min="25" max="25" width="8.5703125" style="71" bestFit="1" customWidth="1"/>
    <col min="26" max="16384" width="4.42578125" style="71"/>
  </cols>
  <sheetData>
    <row r="1" spans="1:25" ht="15.75" x14ac:dyDescent="0.2">
      <c r="A1" s="456" t="s">
        <v>483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</row>
    <row r="2" spans="1:25" x14ac:dyDescent="0.2">
      <c r="B2" s="117" t="s">
        <v>135</v>
      </c>
      <c r="J2" s="120" t="s">
        <v>143</v>
      </c>
      <c r="N2" s="71"/>
      <c r="O2" s="121"/>
      <c r="P2" s="121"/>
      <c r="V2" s="121" t="s">
        <v>168</v>
      </c>
    </row>
    <row r="3" spans="1:25" ht="15" customHeight="1" x14ac:dyDescent="0.2">
      <c r="A3" s="427" t="s">
        <v>275</v>
      </c>
      <c r="B3" s="427" t="s">
        <v>276</v>
      </c>
      <c r="C3" s="434" t="s">
        <v>277</v>
      </c>
      <c r="D3" s="434"/>
      <c r="E3" s="428" t="s">
        <v>154</v>
      </c>
      <c r="F3" s="428"/>
      <c r="G3" s="428" t="s">
        <v>24</v>
      </c>
      <c r="H3" s="428"/>
      <c r="I3" s="428"/>
      <c r="J3" s="428"/>
      <c r="K3" s="428"/>
      <c r="L3" s="428"/>
      <c r="M3" s="428"/>
      <c r="N3" s="428"/>
      <c r="O3" s="428" t="s">
        <v>137</v>
      </c>
      <c r="P3" s="428"/>
      <c r="Q3" s="428" t="s">
        <v>138</v>
      </c>
      <c r="R3" s="428"/>
      <c r="S3" s="428" t="s">
        <v>155</v>
      </c>
      <c r="T3" s="428"/>
      <c r="U3" s="428" t="s">
        <v>132</v>
      </c>
      <c r="V3" s="428"/>
      <c r="W3" s="428" t="s">
        <v>156</v>
      </c>
      <c r="X3" s="428"/>
      <c r="Y3" s="457" t="s">
        <v>122</v>
      </c>
    </row>
    <row r="4" spans="1:25" ht="24.95" customHeight="1" x14ac:dyDescent="0.2">
      <c r="A4" s="427"/>
      <c r="B4" s="427"/>
      <c r="C4" s="460" t="s">
        <v>30</v>
      </c>
      <c r="D4" s="460" t="s">
        <v>17</v>
      </c>
      <c r="E4" s="428"/>
      <c r="F4" s="428"/>
      <c r="G4" s="428" t="s">
        <v>128</v>
      </c>
      <c r="H4" s="428"/>
      <c r="I4" s="428" t="s">
        <v>129</v>
      </c>
      <c r="J4" s="428"/>
      <c r="K4" s="428" t="s">
        <v>130</v>
      </c>
      <c r="L4" s="428"/>
      <c r="M4" s="428" t="s">
        <v>157</v>
      </c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58"/>
    </row>
    <row r="5" spans="1:25" s="389" customFormat="1" ht="33" customHeight="1" x14ac:dyDescent="0.2">
      <c r="A5" s="427"/>
      <c r="B5" s="427"/>
      <c r="C5" s="461"/>
      <c r="D5" s="461"/>
      <c r="E5" s="385" t="s">
        <v>30</v>
      </c>
      <c r="F5" s="385" t="s">
        <v>17</v>
      </c>
      <c r="G5" s="385" t="s">
        <v>30</v>
      </c>
      <c r="H5" s="385" t="s">
        <v>17</v>
      </c>
      <c r="I5" s="385" t="s">
        <v>30</v>
      </c>
      <c r="J5" s="385" t="s">
        <v>17</v>
      </c>
      <c r="K5" s="385" t="s">
        <v>30</v>
      </c>
      <c r="L5" s="385" t="s">
        <v>17</v>
      </c>
      <c r="M5" s="385" t="s">
        <v>30</v>
      </c>
      <c r="N5" s="385" t="s">
        <v>17</v>
      </c>
      <c r="O5" s="385" t="s">
        <v>30</v>
      </c>
      <c r="P5" s="385" t="s">
        <v>17</v>
      </c>
      <c r="Q5" s="385" t="s">
        <v>30</v>
      </c>
      <c r="R5" s="385" t="s">
        <v>17</v>
      </c>
      <c r="S5" s="385" t="s">
        <v>30</v>
      </c>
      <c r="T5" s="385" t="s">
        <v>17</v>
      </c>
      <c r="U5" s="385" t="s">
        <v>30</v>
      </c>
      <c r="V5" s="385" t="s">
        <v>17</v>
      </c>
      <c r="W5" s="385" t="s">
        <v>30</v>
      </c>
      <c r="X5" s="385" t="s">
        <v>17</v>
      </c>
      <c r="Y5" s="459"/>
    </row>
    <row r="6" spans="1:25" x14ac:dyDescent="0.2">
      <c r="A6" s="65">
        <v>1</v>
      </c>
      <c r="B6" s="66" t="s">
        <v>56</v>
      </c>
      <c r="C6" s="108">
        <v>5565</v>
      </c>
      <c r="D6" s="108">
        <v>1762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2</v>
      </c>
      <c r="L6" s="108">
        <v>2000</v>
      </c>
      <c r="M6" s="108">
        <f>G6+I6+K6</f>
        <v>2</v>
      </c>
      <c r="N6" s="108">
        <f>H6+J6+L6</f>
        <v>2000</v>
      </c>
      <c r="O6" s="108">
        <v>0</v>
      </c>
      <c r="P6" s="108">
        <v>0</v>
      </c>
      <c r="Q6" s="108">
        <v>0</v>
      </c>
      <c r="R6" s="108">
        <v>0</v>
      </c>
      <c r="S6" s="108">
        <v>316</v>
      </c>
      <c r="T6" s="108">
        <v>553</v>
      </c>
      <c r="U6" s="108">
        <v>318</v>
      </c>
      <c r="V6" s="108">
        <v>2553</v>
      </c>
      <c r="W6" s="108">
        <f>U6+S6+Q6+O6+M6+E6</f>
        <v>636</v>
      </c>
      <c r="X6" s="108">
        <f>V6+T6+R6+P6+N6+F6</f>
        <v>5106</v>
      </c>
      <c r="Y6" s="109">
        <f>X6*100/D6</f>
        <v>289.78433598183881</v>
      </c>
    </row>
    <row r="7" spans="1:25" x14ac:dyDescent="0.2">
      <c r="A7" s="65">
        <v>2</v>
      </c>
      <c r="B7" s="66" t="s">
        <v>57</v>
      </c>
      <c r="C7" s="108">
        <v>1310</v>
      </c>
      <c r="D7" s="108">
        <v>2711</v>
      </c>
      <c r="E7" s="108">
        <v>0</v>
      </c>
      <c r="F7" s="108">
        <v>0</v>
      </c>
      <c r="G7" s="108">
        <v>12</v>
      </c>
      <c r="H7" s="108">
        <v>225.7</v>
      </c>
      <c r="I7" s="108">
        <v>0</v>
      </c>
      <c r="J7" s="108">
        <v>0</v>
      </c>
      <c r="K7" s="108">
        <v>0</v>
      </c>
      <c r="L7" s="108">
        <v>0</v>
      </c>
      <c r="M7" s="108">
        <f t="shared" ref="M7:M12" si="0">G7+I7+K7</f>
        <v>12</v>
      </c>
      <c r="N7" s="108">
        <f t="shared" ref="N7:N61" si="1">H7+J7+L7</f>
        <v>225.7</v>
      </c>
      <c r="O7" s="108">
        <v>2</v>
      </c>
      <c r="P7" s="108">
        <v>24.33</v>
      </c>
      <c r="Q7" s="108">
        <v>32</v>
      </c>
      <c r="R7" s="108">
        <v>497.53</v>
      </c>
      <c r="S7" s="108">
        <v>444</v>
      </c>
      <c r="T7" s="108">
        <v>973</v>
      </c>
      <c r="U7" s="108">
        <v>121</v>
      </c>
      <c r="V7" s="108">
        <v>683.21</v>
      </c>
      <c r="W7" s="108">
        <f t="shared" ref="W7:W59" si="2">U7+S7+Q7+O7+M7+E7</f>
        <v>611</v>
      </c>
      <c r="X7" s="108">
        <f t="shared" ref="X7:X59" si="3">V7+T7+R7+P7+N7+F7</f>
        <v>2403.7699999999995</v>
      </c>
      <c r="Y7" s="109">
        <f t="shared" ref="Y7:Y63" si="4">X7*100/D7</f>
        <v>88.667281445960882</v>
      </c>
    </row>
    <row r="8" spans="1:25" x14ac:dyDescent="0.2">
      <c r="A8" s="65">
        <v>3</v>
      </c>
      <c r="B8" s="66" t="s">
        <v>58</v>
      </c>
      <c r="C8" s="108">
        <v>1672</v>
      </c>
      <c r="D8" s="108">
        <v>9426</v>
      </c>
      <c r="E8" s="108">
        <v>1</v>
      </c>
      <c r="F8" s="108">
        <v>1</v>
      </c>
      <c r="G8" s="108">
        <v>1</v>
      </c>
      <c r="H8" s="108">
        <v>1</v>
      </c>
      <c r="I8" s="108">
        <v>1</v>
      </c>
      <c r="J8" s="108">
        <v>1</v>
      </c>
      <c r="K8" s="108">
        <v>92</v>
      </c>
      <c r="L8" s="108">
        <v>4042</v>
      </c>
      <c r="M8" s="108">
        <f t="shared" si="0"/>
        <v>94</v>
      </c>
      <c r="N8" s="108">
        <f t="shared" si="1"/>
        <v>4044</v>
      </c>
      <c r="O8" s="108">
        <v>84</v>
      </c>
      <c r="P8" s="108">
        <v>3422</v>
      </c>
      <c r="Q8" s="108">
        <v>209</v>
      </c>
      <c r="R8" s="108">
        <v>4338</v>
      </c>
      <c r="S8" s="108">
        <v>316</v>
      </c>
      <c r="T8" s="108">
        <v>650</v>
      </c>
      <c r="U8" s="108">
        <v>145</v>
      </c>
      <c r="V8" s="108">
        <v>1556</v>
      </c>
      <c r="W8" s="108">
        <f t="shared" si="2"/>
        <v>849</v>
      </c>
      <c r="X8" s="108">
        <f t="shared" si="3"/>
        <v>14011</v>
      </c>
      <c r="Y8" s="109">
        <f t="shared" si="4"/>
        <v>148.64205389348609</v>
      </c>
    </row>
    <row r="9" spans="1:25" x14ac:dyDescent="0.2">
      <c r="A9" s="65">
        <v>4</v>
      </c>
      <c r="B9" s="66" t="s">
        <v>59</v>
      </c>
      <c r="C9" s="108">
        <v>5625</v>
      </c>
      <c r="D9" s="108">
        <v>48137</v>
      </c>
      <c r="E9" s="108">
        <v>5867</v>
      </c>
      <c r="F9" s="108">
        <v>9343</v>
      </c>
      <c r="G9" s="108">
        <v>8</v>
      </c>
      <c r="H9" s="108">
        <v>486</v>
      </c>
      <c r="I9" s="108">
        <v>31</v>
      </c>
      <c r="J9" s="108">
        <v>14538</v>
      </c>
      <c r="K9" s="108">
        <v>11</v>
      </c>
      <c r="L9" s="108">
        <v>3186</v>
      </c>
      <c r="M9" s="108">
        <f t="shared" si="0"/>
        <v>50</v>
      </c>
      <c r="N9" s="108">
        <f t="shared" si="1"/>
        <v>18210</v>
      </c>
      <c r="O9" s="108">
        <v>86</v>
      </c>
      <c r="P9" s="108">
        <v>58</v>
      </c>
      <c r="Q9" s="108">
        <v>2094</v>
      </c>
      <c r="R9" s="108">
        <v>6875</v>
      </c>
      <c r="S9" s="108">
        <v>1316</v>
      </c>
      <c r="T9" s="108">
        <v>2179</v>
      </c>
      <c r="U9" s="108">
        <v>7966</v>
      </c>
      <c r="V9" s="108">
        <v>4297</v>
      </c>
      <c r="W9" s="108">
        <f t="shared" si="2"/>
        <v>17379</v>
      </c>
      <c r="X9" s="108">
        <f t="shared" si="3"/>
        <v>40962</v>
      </c>
      <c r="Y9" s="109">
        <f t="shared" si="4"/>
        <v>85.094625755655727</v>
      </c>
    </row>
    <row r="10" spans="1:25" x14ac:dyDescent="0.2">
      <c r="A10" s="65">
        <v>5</v>
      </c>
      <c r="B10" s="66" t="s">
        <v>60</v>
      </c>
      <c r="C10" s="108">
        <v>3211</v>
      </c>
      <c r="D10" s="108">
        <v>11083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f t="shared" si="0"/>
        <v>0</v>
      </c>
      <c r="N10" s="108">
        <f t="shared" si="1"/>
        <v>0</v>
      </c>
      <c r="O10" s="108">
        <v>13</v>
      </c>
      <c r="P10" s="108">
        <v>45</v>
      </c>
      <c r="Q10" s="108">
        <v>74</v>
      </c>
      <c r="R10" s="108">
        <v>988</v>
      </c>
      <c r="S10" s="108">
        <v>389</v>
      </c>
      <c r="T10" s="108">
        <v>293</v>
      </c>
      <c r="U10" s="108">
        <v>1978</v>
      </c>
      <c r="V10" s="108">
        <v>2378</v>
      </c>
      <c r="W10" s="108">
        <f t="shared" si="2"/>
        <v>2454</v>
      </c>
      <c r="X10" s="108">
        <f t="shared" si="3"/>
        <v>3704</v>
      </c>
      <c r="Y10" s="109">
        <f t="shared" si="4"/>
        <v>33.420554001624112</v>
      </c>
    </row>
    <row r="11" spans="1:25" x14ac:dyDescent="0.2">
      <c r="A11" s="65">
        <v>6</v>
      </c>
      <c r="B11" s="199" t="s">
        <v>244</v>
      </c>
      <c r="C11" s="108">
        <v>12</v>
      </c>
      <c r="D11" s="108">
        <v>13</v>
      </c>
      <c r="E11" s="108">
        <v>0</v>
      </c>
      <c r="F11" s="108">
        <v>0</v>
      </c>
      <c r="G11" s="108">
        <v>15</v>
      </c>
      <c r="H11" s="108">
        <v>36</v>
      </c>
      <c r="I11" s="108">
        <v>0</v>
      </c>
      <c r="J11" s="108">
        <v>0</v>
      </c>
      <c r="K11" s="108">
        <v>0</v>
      </c>
      <c r="L11" s="108">
        <v>0</v>
      </c>
      <c r="M11" s="108">
        <f t="shared" si="0"/>
        <v>15</v>
      </c>
      <c r="N11" s="108">
        <f t="shared" si="1"/>
        <v>36</v>
      </c>
      <c r="O11" s="108">
        <v>1</v>
      </c>
      <c r="P11" s="108">
        <v>3</v>
      </c>
      <c r="Q11" s="108">
        <v>4</v>
      </c>
      <c r="R11" s="108">
        <v>48</v>
      </c>
      <c r="S11" s="108">
        <v>0</v>
      </c>
      <c r="T11" s="108">
        <v>0</v>
      </c>
      <c r="U11" s="108">
        <v>188</v>
      </c>
      <c r="V11" s="108">
        <v>86</v>
      </c>
      <c r="W11" s="108">
        <f t="shared" si="2"/>
        <v>208</v>
      </c>
      <c r="X11" s="108">
        <f t="shared" si="3"/>
        <v>173</v>
      </c>
      <c r="Y11" s="109">
        <f t="shared" si="4"/>
        <v>1330.7692307692307</v>
      </c>
    </row>
    <row r="12" spans="1:25" x14ac:dyDescent="0.2">
      <c r="A12" s="65">
        <v>7</v>
      </c>
      <c r="B12" s="66" t="s">
        <v>61</v>
      </c>
      <c r="C12" s="108">
        <v>2287</v>
      </c>
      <c r="D12" s="108">
        <v>11771</v>
      </c>
      <c r="E12" s="108">
        <v>0</v>
      </c>
      <c r="F12" s="108">
        <v>0</v>
      </c>
      <c r="G12" s="108">
        <v>5</v>
      </c>
      <c r="H12" s="108">
        <v>82</v>
      </c>
      <c r="I12" s="108">
        <v>1</v>
      </c>
      <c r="J12" s="108">
        <v>105</v>
      </c>
      <c r="K12" s="108">
        <v>0</v>
      </c>
      <c r="L12" s="108">
        <v>0</v>
      </c>
      <c r="M12" s="108">
        <f t="shared" si="0"/>
        <v>6</v>
      </c>
      <c r="N12" s="108">
        <f t="shared" si="1"/>
        <v>187</v>
      </c>
      <c r="O12" s="108">
        <v>18</v>
      </c>
      <c r="P12" s="108">
        <v>42</v>
      </c>
      <c r="Q12" s="108">
        <v>343</v>
      </c>
      <c r="R12" s="108">
        <v>1161</v>
      </c>
      <c r="S12" s="108">
        <v>562</v>
      </c>
      <c r="T12" s="108">
        <v>1546</v>
      </c>
      <c r="U12" s="108">
        <v>1324</v>
      </c>
      <c r="V12" s="108">
        <v>5043</v>
      </c>
      <c r="W12" s="108">
        <f t="shared" si="2"/>
        <v>2253</v>
      </c>
      <c r="X12" s="108">
        <f t="shared" si="3"/>
        <v>7979</v>
      </c>
      <c r="Y12" s="109">
        <f t="shared" si="4"/>
        <v>67.785234899328856</v>
      </c>
    </row>
    <row r="13" spans="1:25" x14ac:dyDescent="0.2">
      <c r="A13" s="65">
        <v>8</v>
      </c>
      <c r="B13" s="66" t="s">
        <v>62</v>
      </c>
      <c r="C13" s="108">
        <f>4438-1646-8</f>
        <v>2784</v>
      </c>
      <c r="D13" s="108">
        <v>24031</v>
      </c>
      <c r="E13" s="108">
        <v>0</v>
      </c>
      <c r="F13" s="108">
        <v>0</v>
      </c>
      <c r="G13" s="108">
        <v>0</v>
      </c>
      <c r="H13" s="108">
        <v>0</v>
      </c>
      <c r="I13" s="66">
        <v>0</v>
      </c>
      <c r="J13" s="66">
        <v>0</v>
      </c>
      <c r="K13" s="108">
        <v>2</v>
      </c>
      <c r="L13" s="108">
        <v>1293</v>
      </c>
      <c r="M13" s="108">
        <f t="shared" ref="M13:M61" si="5">G13+I13+K13</f>
        <v>2</v>
      </c>
      <c r="N13" s="108">
        <f t="shared" si="1"/>
        <v>1293</v>
      </c>
      <c r="O13" s="108">
        <v>35</v>
      </c>
      <c r="P13" s="108">
        <v>267</v>
      </c>
      <c r="Q13" s="108">
        <v>57</v>
      </c>
      <c r="R13" s="108">
        <v>1613</v>
      </c>
      <c r="S13" s="108">
        <v>955</v>
      </c>
      <c r="T13" s="108">
        <v>2197</v>
      </c>
      <c r="U13" s="108">
        <v>1</v>
      </c>
      <c r="V13" s="108">
        <v>50000</v>
      </c>
      <c r="W13" s="108">
        <f t="shared" si="2"/>
        <v>1050</v>
      </c>
      <c r="X13" s="108">
        <f t="shared" si="3"/>
        <v>55370</v>
      </c>
      <c r="Y13" s="109">
        <f t="shared" si="4"/>
        <v>230.41071948732886</v>
      </c>
    </row>
    <row r="14" spans="1:25" x14ac:dyDescent="0.2">
      <c r="A14" s="65">
        <v>9</v>
      </c>
      <c r="B14" s="66" t="s">
        <v>49</v>
      </c>
      <c r="C14" s="108">
        <v>455</v>
      </c>
      <c r="D14" s="108">
        <v>1817</v>
      </c>
      <c r="E14" s="108">
        <v>449</v>
      </c>
      <c r="F14" s="108">
        <v>1135</v>
      </c>
      <c r="G14" s="108">
        <v>2083</v>
      </c>
      <c r="H14" s="108">
        <v>5059</v>
      </c>
      <c r="I14" s="108">
        <v>21</v>
      </c>
      <c r="J14" s="108">
        <v>4029</v>
      </c>
      <c r="K14" s="108">
        <v>8</v>
      </c>
      <c r="L14" s="108">
        <v>740</v>
      </c>
      <c r="M14" s="108">
        <f t="shared" si="5"/>
        <v>2112</v>
      </c>
      <c r="N14" s="108">
        <f t="shared" si="1"/>
        <v>9828</v>
      </c>
      <c r="O14" s="108">
        <v>34</v>
      </c>
      <c r="P14" s="108">
        <v>95</v>
      </c>
      <c r="Q14" s="108">
        <v>197</v>
      </c>
      <c r="R14" s="108">
        <v>4698</v>
      </c>
      <c r="S14" s="108">
        <v>372</v>
      </c>
      <c r="T14" s="108">
        <v>185</v>
      </c>
      <c r="U14" s="108">
        <v>0</v>
      </c>
      <c r="V14" s="108">
        <v>0</v>
      </c>
      <c r="W14" s="108">
        <f t="shared" si="2"/>
        <v>3164</v>
      </c>
      <c r="X14" s="108">
        <f t="shared" si="3"/>
        <v>15941</v>
      </c>
      <c r="Y14" s="109">
        <f t="shared" si="4"/>
        <v>877.32526141992298</v>
      </c>
    </row>
    <row r="15" spans="1:25" x14ac:dyDescent="0.2">
      <c r="A15" s="65">
        <v>10</v>
      </c>
      <c r="B15" s="66" t="s">
        <v>50</v>
      </c>
      <c r="C15" s="108">
        <v>1072</v>
      </c>
      <c r="D15" s="108">
        <v>5706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f t="shared" si="5"/>
        <v>0</v>
      </c>
      <c r="N15" s="108">
        <f t="shared" si="1"/>
        <v>0</v>
      </c>
      <c r="O15" s="108">
        <v>0</v>
      </c>
      <c r="P15" s="108">
        <v>0</v>
      </c>
      <c r="Q15" s="108">
        <v>27</v>
      </c>
      <c r="R15" s="108">
        <v>468</v>
      </c>
      <c r="S15" s="108">
        <v>55</v>
      </c>
      <c r="T15" s="108">
        <v>51</v>
      </c>
      <c r="U15" s="108">
        <v>728</v>
      </c>
      <c r="V15" s="108">
        <v>14565</v>
      </c>
      <c r="W15" s="108">
        <f t="shared" si="2"/>
        <v>810</v>
      </c>
      <c r="X15" s="108">
        <f t="shared" si="3"/>
        <v>15084</v>
      </c>
      <c r="Y15" s="109">
        <f t="shared" si="4"/>
        <v>264.35331230283913</v>
      </c>
    </row>
    <row r="16" spans="1:25" x14ac:dyDescent="0.2">
      <c r="A16" s="65">
        <v>11</v>
      </c>
      <c r="B16" s="66" t="s">
        <v>82</v>
      </c>
      <c r="C16" s="108">
        <v>975</v>
      </c>
      <c r="D16" s="108">
        <v>9764</v>
      </c>
      <c r="E16" s="108">
        <v>589</v>
      </c>
      <c r="F16" s="108">
        <v>1499</v>
      </c>
      <c r="G16" s="108">
        <v>136</v>
      </c>
      <c r="H16" s="108">
        <v>3582</v>
      </c>
      <c r="I16" s="108">
        <v>496</v>
      </c>
      <c r="J16" s="108">
        <v>11710</v>
      </c>
      <c r="K16" s="108">
        <v>6</v>
      </c>
      <c r="L16" s="108">
        <v>1512</v>
      </c>
      <c r="M16" s="108">
        <f t="shared" si="5"/>
        <v>638</v>
      </c>
      <c r="N16" s="108">
        <f t="shared" si="1"/>
        <v>16804</v>
      </c>
      <c r="O16" s="108">
        <v>5</v>
      </c>
      <c r="P16" s="108">
        <v>2</v>
      </c>
      <c r="Q16" s="108">
        <v>143</v>
      </c>
      <c r="R16" s="108">
        <v>3965</v>
      </c>
      <c r="S16" s="108">
        <v>1134</v>
      </c>
      <c r="T16" s="108">
        <v>5796</v>
      </c>
      <c r="U16" s="108">
        <v>235</v>
      </c>
      <c r="V16" s="108">
        <v>4294</v>
      </c>
      <c r="W16" s="108">
        <f t="shared" si="2"/>
        <v>2744</v>
      </c>
      <c r="X16" s="108">
        <f t="shared" si="3"/>
        <v>32360</v>
      </c>
      <c r="Y16" s="109">
        <f t="shared" si="4"/>
        <v>331.42154854567798</v>
      </c>
    </row>
    <row r="17" spans="1:25" x14ac:dyDescent="0.2">
      <c r="A17" s="65">
        <v>12</v>
      </c>
      <c r="B17" s="66" t="s">
        <v>63</v>
      </c>
      <c r="C17" s="108">
        <v>454</v>
      </c>
      <c r="D17" s="108">
        <v>2250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f t="shared" si="5"/>
        <v>0</v>
      </c>
      <c r="N17" s="108">
        <f t="shared" si="1"/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359</v>
      </c>
      <c r="V17" s="108">
        <v>50825</v>
      </c>
      <c r="W17" s="108">
        <f t="shared" si="2"/>
        <v>359</v>
      </c>
      <c r="X17" s="108">
        <f t="shared" si="3"/>
        <v>50825</v>
      </c>
      <c r="Y17" s="109">
        <f t="shared" si="4"/>
        <v>2258.8888888888887</v>
      </c>
    </row>
    <row r="18" spans="1:25" x14ac:dyDescent="0.2">
      <c r="A18" s="65">
        <v>13</v>
      </c>
      <c r="B18" s="66" t="s">
        <v>64</v>
      </c>
      <c r="C18" s="108">
        <v>608</v>
      </c>
      <c r="D18" s="108">
        <v>2398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5</v>
      </c>
      <c r="L18" s="108">
        <v>738</v>
      </c>
      <c r="M18" s="108">
        <f t="shared" si="5"/>
        <v>5</v>
      </c>
      <c r="N18" s="108">
        <f t="shared" si="1"/>
        <v>738</v>
      </c>
      <c r="O18" s="108">
        <v>1</v>
      </c>
      <c r="P18" s="108">
        <v>12</v>
      </c>
      <c r="Q18" s="108">
        <v>1</v>
      </c>
      <c r="R18" s="108">
        <v>30</v>
      </c>
      <c r="S18" s="108">
        <v>790</v>
      </c>
      <c r="T18" s="108">
        <v>4007</v>
      </c>
      <c r="U18" s="108">
        <v>187</v>
      </c>
      <c r="V18" s="108">
        <v>250</v>
      </c>
      <c r="W18" s="108">
        <f t="shared" si="2"/>
        <v>984</v>
      </c>
      <c r="X18" s="108">
        <f t="shared" si="3"/>
        <v>5037</v>
      </c>
      <c r="Y18" s="109">
        <f t="shared" si="4"/>
        <v>210.05004170141785</v>
      </c>
    </row>
    <row r="19" spans="1:25" x14ac:dyDescent="0.2">
      <c r="A19" s="65">
        <v>14</v>
      </c>
      <c r="B19" s="100" t="s">
        <v>208</v>
      </c>
      <c r="C19" s="108">
        <v>2210</v>
      </c>
      <c r="D19" s="108">
        <v>7391</v>
      </c>
      <c r="E19" s="108">
        <v>0</v>
      </c>
      <c r="F19" s="108">
        <v>0</v>
      </c>
      <c r="G19" s="108">
        <v>0</v>
      </c>
      <c r="H19" s="108">
        <v>0</v>
      </c>
      <c r="I19" s="108">
        <v>1</v>
      </c>
      <c r="J19" s="108">
        <v>5.17</v>
      </c>
      <c r="K19" s="108">
        <v>0</v>
      </c>
      <c r="L19" s="108">
        <v>0</v>
      </c>
      <c r="M19" s="108">
        <f t="shared" si="5"/>
        <v>1</v>
      </c>
      <c r="N19" s="108">
        <f t="shared" si="1"/>
        <v>5.17</v>
      </c>
      <c r="O19" s="108">
        <v>0</v>
      </c>
      <c r="P19" s="108">
        <v>0</v>
      </c>
      <c r="Q19" s="108">
        <v>91</v>
      </c>
      <c r="R19" s="108">
        <v>1566.46</v>
      </c>
      <c r="S19" s="108">
        <v>237</v>
      </c>
      <c r="T19" s="108">
        <v>662.95</v>
      </c>
      <c r="U19" s="108">
        <v>626</v>
      </c>
      <c r="V19" s="108">
        <v>2334.71</v>
      </c>
      <c r="W19" s="108">
        <f t="shared" si="2"/>
        <v>955</v>
      </c>
      <c r="X19" s="108">
        <f t="shared" si="3"/>
        <v>4569.29</v>
      </c>
      <c r="Y19" s="109">
        <f t="shared" si="4"/>
        <v>61.822351508591531</v>
      </c>
    </row>
    <row r="20" spans="1:25" x14ac:dyDescent="0.2">
      <c r="A20" s="65">
        <v>15</v>
      </c>
      <c r="B20" s="66" t="s">
        <v>209</v>
      </c>
      <c r="C20" s="108">
        <v>1222</v>
      </c>
      <c r="D20" s="108">
        <v>4287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f t="shared" si="5"/>
        <v>0</v>
      </c>
      <c r="N20" s="108">
        <f t="shared" si="1"/>
        <v>0</v>
      </c>
      <c r="O20" s="108">
        <v>0</v>
      </c>
      <c r="P20" s="108">
        <v>0</v>
      </c>
      <c r="Q20" s="108">
        <v>3</v>
      </c>
      <c r="R20" s="108">
        <v>62</v>
      </c>
      <c r="S20" s="108">
        <v>11</v>
      </c>
      <c r="T20" s="108">
        <v>17</v>
      </c>
      <c r="U20" s="108">
        <v>156</v>
      </c>
      <c r="V20" s="108">
        <v>692</v>
      </c>
      <c r="W20" s="108">
        <f t="shared" si="2"/>
        <v>170</v>
      </c>
      <c r="X20" s="108">
        <f t="shared" si="3"/>
        <v>771</v>
      </c>
      <c r="Y20" s="109">
        <f t="shared" si="4"/>
        <v>17.984604618614416</v>
      </c>
    </row>
    <row r="21" spans="1:25" x14ac:dyDescent="0.2">
      <c r="A21" s="65">
        <v>16</v>
      </c>
      <c r="B21" s="66" t="s">
        <v>65</v>
      </c>
      <c r="C21" s="108">
        <v>2053</v>
      </c>
      <c r="D21" s="108">
        <v>16716</v>
      </c>
      <c r="E21" s="108">
        <v>8</v>
      </c>
      <c r="F21" s="108">
        <v>55307</v>
      </c>
      <c r="G21" s="108">
        <v>14</v>
      </c>
      <c r="H21" s="108">
        <v>3326</v>
      </c>
      <c r="I21" s="108">
        <v>21</v>
      </c>
      <c r="J21" s="108">
        <v>13097</v>
      </c>
      <c r="K21" s="108">
        <v>4</v>
      </c>
      <c r="L21" s="108">
        <v>4660</v>
      </c>
      <c r="M21" s="108">
        <f t="shared" si="5"/>
        <v>39</v>
      </c>
      <c r="N21" s="108">
        <f t="shared" si="1"/>
        <v>21083</v>
      </c>
      <c r="O21" s="108">
        <v>6</v>
      </c>
      <c r="P21" s="108">
        <v>20.85</v>
      </c>
      <c r="Q21" s="108">
        <v>302</v>
      </c>
      <c r="R21" s="108">
        <v>5689</v>
      </c>
      <c r="S21" s="108">
        <v>10431</v>
      </c>
      <c r="T21" s="108">
        <v>39335</v>
      </c>
      <c r="U21" s="108">
        <v>1686</v>
      </c>
      <c r="V21" s="108">
        <v>76638</v>
      </c>
      <c r="W21" s="108">
        <f t="shared" si="2"/>
        <v>12472</v>
      </c>
      <c r="X21" s="108">
        <f t="shared" si="3"/>
        <v>198072.85</v>
      </c>
      <c r="Y21" s="109">
        <f t="shared" si="4"/>
        <v>1184.9297080641302</v>
      </c>
    </row>
    <row r="22" spans="1:25" x14ac:dyDescent="0.2">
      <c r="A22" s="65">
        <v>17</v>
      </c>
      <c r="B22" s="100" t="s">
        <v>70</v>
      </c>
      <c r="C22" s="108">
        <v>396</v>
      </c>
      <c r="D22" s="108">
        <v>2032</v>
      </c>
      <c r="E22" s="108">
        <v>0</v>
      </c>
      <c r="F22" s="108">
        <v>0</v>
      </c>
      <c r="G22" s="108">
        <v>12</v>
      </c>
      <c r="H22" s="108">
        <v>48.64</v>
      </c>
      <c r="I22" s="108">
        <v>4</v>
      </c>
      <c r="J22" s="108">
        <v>98.65</v>
      </c>
      <c r="K22" s="108">
        <v>0</v>
      </c>
      <c r="L22" s="108">
        <v>0</v>
      </c>
      <c r="M22" s="108">
        <f t="shared" si="5"/>
        <v>16</v>
      </c>
      <c r="N22" s="108">
        <f t="shared" si="1"/>
        <v>147.29000000000002</v>
      </c>
      <c r="O22" s="108">
        <v>0</v>
      </c>
      <c r="P22" s="108">
        <v>0</v>
      </c>
      <c r="Q22" s="108">
        <v>5</v>
      </c>
      <c r="R22" s="108">
        <v>145</v>
      </c>
      <c r="S22" s="108">
        <v>0</v>
      </c>
      <c r="T22" s="108">
        <v>0</v>
      </c>
      <c r="U22" s="108">
        <v>0</v>
      </c>
      <c r="V22" s="108">
        <v>0</v>
      </c>
      <c r="W22" s="108">
        <f t="shared" si="2"/>
        <v>21</v>
      </c>
      <c r="X22" s="108">
        <f t="shared" si="3"/>
        <v>292.29000000000002</v>
      </c>
      <c r="Y22" s="109">
        <f t="shared" si="4"/>
        <v>14.384350393700789</v>
      </c>
    </row>
    <row r="23" spans="1:25" x14ac:dyDescent="0.2">
      <c r="A23" s="65">
        <v>18</v>
      </c>
      <c r="B23" s="66" t="s">
        <v>210</v>
      </c>
      <c r="C23" s="108">
        <v>14</v>
      </c>
      <c r="D23" s="108">
        <v>147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f t="shared" si="5"/>
        <v>0</v>
      </c>
      <c r="N23" s="108">
        <f t="shared" si="1"/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  <c r="W23" s="108">
        <f t="shared" si="2"/>
        <v>0</v>
      </c>
      <c r="X23" s="108">
        <f t="shared" si="3"/>
        <v>0</v>
      </c>
      <c r="Y23" s="109">
        <f t="shared" si="4"/>
        <v>0</v>
      </c>
    </row>
    <row r="24" spans="1:25" x14ac:dyDescent="0.2">
      <c r="A24" s="65">
        <v>19</v>
      </c>
      <c r="B24" s="101" t="s">
        <v>211</v>
      </c>
      <c r="C24" s="108">
        <v>246</v>
      </c>
      <c r="D24" s="108">
        <v>1394</v>
      </c>
      <c r="E24" s="108">
        <v>0</v>
      </c>
      <c r="F24" s="108">
        <v>0</v>
      </c>
      <c r="G24" s="108">
        <v>2</v>
      </c>
      <c r="H24" s="108">
        <v>4</v>
      </c>
      <c r="I24" s="108">
        <v>0</v>
      </c>
      <c r="J24" s="108">
        <v>0</v>
      </c>
      <c r="K24" s="108">
        <v>0</v>
      </c>
      <c r="L24" s="108">
        <v>0</v>
      </c>
      <c r="M24" s="108">
        <f t="shared" si="5"/>
        <v>2</v>
      </c>
      <c r="N24" s="108">
        <f t="shared" si="1"/>
        <v>4</v>
      </c>
      <c r="O24" s="108">
        <v>0</v>
      </c>
      <c r="P24" s="108">
        <v>0</v>
      </c>
      <c r="Q24" s="108">
        <v>8</v>
      </c>
      <c r="R24" s="108">
        <v>61</v>
      </c>
      <c r="S24" s="108">
        <v>45</v>
      </c>
      <c r="T24" s="108">
        <v>300</v>
      </c>
      <c r="U24" s="108">
        <v>2</v>
      </c>
      <c r="V24" s="108">
        <v>7</v>
      </c>
      <c r="W24" s="108">
        <f t="shared" si="2"/>
        <v>57</v>
      </c>
      <c r="X24" s="108">
        <f t="shared" si="3"/>
        <v>372</v>
      </c>
      <c r="Y24" s="109">
        <f t="shared" si="4"/>
        <v>26.685796269727405</v>
      </c>
    </row>
    <row r="25" spans="1:25" x14ac:dyDescent="0.2">
      <c r="A25" s="65">
        <v>20</v>
      </c>
      <c r="B25" s="66" t="s">
        <v>212</v>
      </c>
      <c r="C25" s="108">
        <v>104</v>
      </c>
      <c r="D25" s="108">
        <v>1112</v>
      </c>
      <c r="E25" s="108">
        <v>0</v>
      </c>
      <c r="F25" s="108">
        <v>0</v>
      </c>
      <c r="G25" s="108">
        <v>4</v>
      </c>
      <c r="H25" s="108">
        <v>50</v>
      </c>
      <c r="I25" s="108">
        <v>5</v>
      </c>
      <c r="J25" s="108">
        <v>65</v>
      </c>
      <c r="K25" s="108">
        <v>0</v>
      </c>
      <c r="L25" s="108">
        <v>0</v>
      </c>
      <c r="M25" s="108">
        <f t="shared" si="5"/>
        <v>9</v>
      </c>
      <c r="N25" s="108">
        <f t="shared" si="1"/>
        <v>115</v>
      </c>
      <c r="O25" s="108">
        <v>0</v>
      </c>
      <c r="P25" s="108">
        <v>0</v>
      </c>
      <c r="Q25" s="108">
        <v>3</v>
      </c>
      <c r="R25" s="108">
        <v>40</v>
      </c>
      <c r="S25" s="108">
        <v>0</v>
      </c>
      <c r="T25" s="108">
        <v>0</v>
      </c>
      <c r="U25" s="108">
        <v>1</v>
      </c>
      <c r="V25" s="108">
        <v>20</v>
      </c>
      <c r="W25" s="108">
        <f t="shared" si="2"/>
        <v>13</v>
      </c>
      <c r="X25" s="108">
        <f t="shared" si="3"/>
        <v>175</v>
      </c>
      <c r="Y25" s="109">
        <f t="shared" si="4"/>
        <v>15.737410071942445</v>
      </c>
    </row>
    <row r="26" spans="1:25" x14ac:dyDescent="0.2">
      <c r="A26" s="65">
        <v>21</v>
      </c>
      <c r="B26" s="66" t="s">
        <v>213</v>
      </c>
      <c r="C26" s="108">
        <v>377</v>
      </c>
      <c r="D26" s="108">
        <v>2598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f t="shared" si="5"/>
        <v>0</v>
      </c>
      <c r="N26" s="108">
        <f t="shared" si="1"/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  <c r="W26" s="108">
        <f t="shared" si="2"/>
        <v>0</v>
      </c>
      <c r="X26" s="108">
        <f t="shared" si="3"/>
        <v>0</v>
      </c>
      <c r="Y26" s="109">
        <f t="shared" si="4"/>
        <v>0</v>
      </c>
    </row>
    <row r="27" spans="1:25" s="117" customFormat="1" x14ac:dyDescent="0.2">
      <c r="A27" s="65">
        <v>22</v>
      </c>
      <c r="B27" s="66" t="s">
        <v>71</v>
      </c>
      <c r="C27" s="108">
        <v>5819</v>
      </c>
      <c r="D27" s="108">
        <f>91453-41394</f>
        <v>50059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f t="shared" si="5"/>
        <v>0</v>
      </c>
      <c r="N27" s="108">
        <f t="shared" si="1"/>
        <v>0</v>
      </c>
      <c r="O27" s="108">
        <v>801</v>
      </c>
      <c r="P27" s="108">
        <v>3298</v>
      </c>
      <c r="Q27" s="108">
        <v>1400</v>
      </c>
      <c r="R27" s="108">
        <v>22748</v>
      </c>
      <c r="S27" s="108">
        <v>22115</v>
      </c>
      <c r="T27" s="108">
        <v>31100</v>
      </c>
      <c r="U27" s="108">
        <v>12</v>
      </c>
      <c r="V27" s="108">
        <v>173207</v>
      </c>
      <c r="W27" s="108">
        <f t="shared" si="2"/>
        <v>24328</v>
      </c>
      <c r="X27" s="108">
        <f t="shared" si="3"/>
        <v>230353</v>
      </c>
      <c r="Y27" s="109">
        <f t="shared" si="4"/>
        <v>460.16300765097185</v>
      </c>
    </row>
    <row r="28" spans="1:25" x14ac:dyDescent="0.2">
      <c r="A28" s="65">
        <v>23</v>
      </c>
      <c r="B28" s="66" t="s">
        <v>66</v>
      </c>
      <c r="C28" s="108">
        <v>1249</v>
      </c>
      <c r="D28" s="108">
        <v>3243</v>
      </c>
      <c r="E28" s="108">
        <v>12</v>
      </c>
      <c r="F28" s="108">
        <v>56</v>
      </c>
      <c r="G28" s="108">
        <v>111</v>
      </c>
      <c r="H28" s="108">
        <v>383</v>
      </c>
      <c r="I28" s="108">
        <v>38</v>
      </c>
      <c r="J28" s="108">
        <v>359</v>
      </c>
      <c r="K28" s="108">
        <v>3</v>
      </c>
      <c r="L28" s="108">
        <v>16</v>
      </c>
      <c r="M28" s="108">
        <f t="shared" si="5"/>
        <v>152</v>
      </c>
      <c r="N28" s="108">
        <f t="shared" si="1"/>
        <v>758</v>
      </c>
      <c r="O28" s="108">
        <v>1</v>
      </c>
      <c r="P28" s="108">
        <v>3</v>
      </c>
      <c r="Q28" s="108">
        <v>53</v>
      </c>
      <c r="R28" s="108">
        <v>653</v>
      </c>
      <c r="S28" s="108">
        <v>623</v>
      </c>
      <c r="T28" s="108">
        <v>1389</v>
      </c>
      <c r="U28" s="108">
        <v>3315</v>
      </c>
      <c r="V28" s="108">
        <v>11967</v>
      </c>
      <c r="W28" s="108">
        <f t="shared" si="2"/>
        <v>4156</v>
      </c>
      <c r="X28" s="108">
        <f t="shared" si="3"/>
        <v>14826</v>
      </c>
      <c r="Y28" s="109">
        <f t="shared" si="4"/>
        <v>457.16928769657727</v>
      </c>
    </row>
    <row r="29" spans="1:25" x14ac:dyDescent="0.2">
      <c r="A29" s="65">
        <v>24</v>
      </c>
      <c r="B29" s="66" t="s">
        <v>214</v>
      </c>
      <c r="C29" s="108">
        <v>2492</v>
      </c>
      <c r="D29" s="108">
        <v>8380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f t="shared" si="5"/>
        <v>0</v>
      </c>
      <c r="N29" s="108">
        <f t="shared" si="1"/>
        <v>0</v>
      </c>
      <c r="O29" s="108">
        <v>3</v>
      </c>
      <c r="P29" s="108">
        <v>8</v>
      </c>
      <c r="Q29" s="108">
        <v>9</v>
      </c>
      <c r="R29" s="108">
        <v>351</v>
      </c>
      <c r="S29" s="108">
        <v>319</v>
      </c>
      <c r="T29" s="108">
        <v>1254</v>
      </c>
      <c r="U29" s="108">
        <v>10790</v>
      </c>
      <c r="V29" s="108">
        <v>27564.63</v>
      </c>
      <c r="W29" s="108">
        <f t="shared" si="2"/>
        <v>11121</v>
      </c>
      <c r="X29" s="108">
        <f t="shared" si="3"/>
        <v>29177.63</v>
      </c>
      <c r="Y29" s="109">
        <f t="shared" si="4"/>
        <v>348.18174224343676</v>
      </c>
    </row>
    <row r="30" spans="1:25" x14ac:dyDescent="0.2">
      <c r="A30" s="65">
        <v>25</v>
      </c>
      <c r="B30" s="66" t="s">
        <v>67</v>
      </c>
      <c r="C30" s="108">
        <v>2625</v>
      </c>
      <c r="D30" s="108">
        <v>14949</v>
      </c>
      <c r="E30" s="108">
        <v>0</v>
      </c>
      <c r="F30" s="108">
        <v>0</v>
      </c>
      <c r="G30" s="108">
        <v>0</v>
      </c>
      <c r="H30" s="108">
        <v>0</v>
      </c>
      <c r="I30" s="108">
        <v>173</v>
      </c>
      <c r="J30" s="108">
        <v>38014.58</v>
      </c>
      <c r="K30" s="108">
        <v>4</v>
      </c>
      <c r="L30" s="108">
        <v>3464.24</v>
      </c>
      <c r="M30" s="108">
        <f t="shared" si="5"/>
        <v>177</v>
      </c>
      <c r="N30" s="108">
        <f t="shared" si="1"/>
        <v>41478.82</v>
      </c>
      <c r="O30" s="108">
        <v>102</v>
      </c>
      <c r="P30" s="108">
        <v>212.91</v>
      </c>
      <c r="Q30" s="108">
        <v>1463</v>
      </c>
      <c r="R30" s="108">
        <v>5030.72</v>
      </c>
      <c r="S30" s="108">
        <v>1604</v>
      </c>
      <c r="T30" s="108">
        <v>5957.58</v>
      </c>
      <c r="U30" s="108">
        <v>2542</v>
      </c>
      <c r="V30" s="108">
        <v>116831.49</v>
      </c>
      <c r="W30" s="108">
        <f t="shared" si="2"/>
        <v>5888</v>
      </c>
      <c r="X30" s="108">
        <f t="shared" si="3"/>
        <v>169511.52000000002</v>
      </c>
      <c r="Y30" s="109">
        <f t="shared" si="4"/>
        <v>1133.9321693758779</v>
      </c>
    </row>
    <row r="31" spans="1:25" x14ac:dyDescent="0.2">
      <c r="A31" s="65">
        <v>26</v>
      </c>
      <c r="B31" s="199" t="s">
        <v>68</v>
      </c>
      <c r="C31" s="108">
        <v>183</v>
      </c>
      <c r="D31" s="108">
        <v>1268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f t="shared" si="5"/>
        <v>0</v>
      </c>
      <c r="N31" s="108">
        <f t="shared" si="1"/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66</v>
      </c>
      <c r="V31" s="108">
        <v>163</v>
      </c>
      <c r="W31" s="108">
        <f t="shared" si="2"/>
        <v>66</v>
      </c>
      <c r="X31" s="108">
        <f t="shared" si="3"/>
        <v>163</v>
      </c>
      <c r="Y31" s="109">
        <f t="shared" si="4"/>
        <v>12.854889589905362</v>
      </c>
    </row>
    <row r="32" spans="1:25" x14ac:dyDescent="0.2">
      <c r="A32" s="65">
        <v>27</v>
      </c>
      <c r="B32" s="66" t="s">
        <v>51</v>
      </c>
      <c r="C32" s="108">
        <v>742</v>
      </c>
      <c r="D32" s="108">
        <v>967</v>
      </c>
      <c r="E32" s="108">
        <v>0</v>
      </c>
      <c r="F32" s="108">
        <v>0</v>
      </c>
      <c r="G32" s="108">
        <v>0</v>
      </c>
      <c r="H32" s="108">
        <v>0</v>
      </c>
      <c r="I32" s="108">
        <v>2</v>
      </c>
      <c r="J32" s="108">
        <v>2.82</v>
      </c>
      <c r="K32" s="108">
        <v>0</v>
      </c>
      <c r="L32" s="108">
        <v>0</v>
      </c>
      <c r="M32" s="108">
        <f t="shared" si="5"/>
        <v>2</v>
      </c>
      <c r="N32" s="108">
        <f t="shared" si="1"/>
        <v>2.82</v>
      </c>
      <c r="O32" s="108">
        <v>0</v>
      </c>
      <c r="P32" s="108">
        <v>0</v>
      </c>
      <c r="Q32" s="108">
        <v>28</v>
      </c>
      <c r="R32" s="108">
        <v>623</v>
      </c>
      <c r="S32" s="108">
        <v>68</v>
      </c>
      <c r="T32" s="108">
        <v>151</v>
      </c>
      <c r="U32" s="108">
        <v>157</v>
      </c>
      <c r="V32" s="108">
        <v>1034</v>
      </c>
      <c r="W32" s="108">
        <f t="shared" si="2"/>
        <v>255</v>
      </c>
      <c r="X32" s="108">
        <f t="shared" si="3"/>
        <v>1810.82</v>
      </c>
      <c r="Y32" s="109">
        <f t="shared" si="4"/>
        <v>187.26163391933815</v>
      </c>
    </row>
    <row r="33" spans="1:25" s="117" customFormat="1" x14ac:dyDescent="0.2">
      <c r="A33" s="384"/>
      <c r="B33" s="68" t="s">
        <v>215</v>
      </c>
      <c r="C33" s="115">
        <f>SUM(C6:C32)</f>
        <v>45762</v>
      </c>
      <c r="D33" s="115">
        <f t="shared" ref="D33:V33" si="6">SUM(D6:D32)</f>
        <v>245412</v>
      </c>
      <c r="E33" s="115">
        <f t="shared" si="6"/>
        <v>6926</v>
      </c>
      <c r="F33" s="115">
        <f t="shared" si="6"/>
        <v>67341</v>
      </c>
      <c r="G33" s="115">
        <f t="shared" si="6"/>
        <v>2403</v>
      </c>
      <c r="H33" s="115">
        <f t="shared" si="6"/>
        <v>13283.34</v>
      </c>
      <c r="I33" s="115">
        <f t="shared" si="6"/>
        <v>794</v>
      </c>
      <c r="J33" s="115">
        <f t="shared" si="6"/>
        <v>82025.22</v>
      </c>
      <c r="K33" s="115">
        <f t="shared" si="6"/>
        <v>137</v>
      </c>
      <c r="L33" s="115">
        <f t="shared" si="6"/>
        <v>21651.239999999998</v>
      </c>
      <c r="M33" s="115">
        <f t="shared" ref="M33" si="7">SUM(M6:M32)</f>
        <v>3334</v>
      </c>
      <c r="N33" s="115">
        <f t="shared" ref="N33" si="8">SUM(N6:N32)</f>
        <v>116959.79999999999</v>
      </c>
      <c r="O33" s="115">
        <f t="shared" si="6"/>
        <v>1192</v>
      </c>
      <c r="P33" s="115">
        <f t="shared" si="6"/>
        <v>7513.09</v>
      </c>
      <c r="Q33" s="115">
        <f t="shared" si="6"/>
        <v>6546</v>
      </c>
      <c r="R33" s="115">
        <f t="shared" si="6"/>
        <v>61650.71</v>
      </c>
      <c r="S33" s="115">
        <f t="shared" si="6"/>
        <v>42102</v>
      </c>
      <c r="T33" s="115">
        <f t="shared" si="6"/>
        <v>98596.53</v>
      </c>
      <c r="U33" s="115">
        <f t="shared" si="6"/>
        <v>32903</v>
      </c>
      <c r="V33" s="115">
        <f t="shared" si="6"/>
        <v>546989.04</v>
      </c>
      <c r="W33" s="115">
        <f t="shared" ref="W33" si="9">SUM(W6:W32)</f>
        <v>93003</v>
      </c>
      <c r="X33" s="115">
        <f t="shared" ref="X33" si="10">SUM(X6:X32)</f>
        <v>899050.16999999993</v>
      </c>
      <c r="Y33" s="106">
        <f t="shared" si="4"/>
        <v>366.34319837660752</v>
      </c>
    </row>
    <row r="34" spans="1:25" s="117" customFormat="1" x14ac:dyDescent="0.2">
      <c r="A34" s="65">
        <v>28</v>
      </c>
      <c r="B34" s="66" t="s">
        <v>48</v>
      </c>
      <c r="C34" s="108">
        <v>1790</v>
      </c>
      <c r="D34" s="108">
        <v>9603</v>
      </c>
      <c r="E34" s="108">
        <v>0</v>
      </c>
      <c r="F34" s="108">
        <v>0</v>
      </c>
      <c r="G34" s="108">
        <v>12</v>
      </c>
      <c r="H34" s="108">
        <v>143.52000000000001</v>
      </c>
      <c r="I34" s="108">
        <v>0</v>
      </c>
      <c r="J34" s="108">
        <v>0</v>
      </c>
      <c r="K34" s="108">
        <v>31</v>
      </c>
      <c r="L34" s="108">
        <v>3279.82</v>
      </c>
      <c r="M34" s="108">
        <f t="shared" si="5"/>
        <v>43</v>
      </c>
      <c r="N34" s="108">
        <f t="shared" si="1"/>
        <v>3423.34</v>
      </c>
      <c r="O34" s="108">
        <v>6</v>
      </c>
      <c r="P34" s="108">
        <v>43.65</v>
      </c>
      <c r="Q34" s="108">
        <v>431</v>
      </c>
      <c r="R34" s="108">
        <v>11112.06</v>
      </c>
      <c r="S34" s="108">
        <v>817</v>
      </c>
      <c r="T34" s="108">
        <v>8205.93</v>
      </c>
      <c r="U34" s="108">
        <v>5850</v>
      </c>
      <c r="V34" s="108">
        <v>23312.09</v>
      </c>
      <c r="W34" s="108">
        <f t="shared" si="2"/>
        <v>7147</v>
      </c>
      <c r="X34" s="108">
        <f t="shared" si="3"/>
        <v>46097.070000000007</v>
      </c>
      <c r="Y34" s="109">
        <f t="shared" si="4"/>
        <v>480.02780381130907</v>
      </c>
    </row>
    <row r="35" spans="1:25" x14ac:dyDescent="0.2">
      <c r="A35" s="65">
        <v>29</v>
      </c>
      <c r="B35" s="66" t="s">
        <v>216</v>
      </c>
      <c r="C35" s="108">
        <v>32</v>
      </c>
      <c r="D35" s="108">
        <v>106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f t="shared" si="5"/>
        <v>0</v>
      </c>
      <c r="N35" s="108">
        <f t="shared" si="1"/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  <c r="W35" s="108">
        <f t="shared" si="2"/>
        <v>0</v>
      </c>
      <c r="X35" s="108">
        <f t="shared" si="3"/>
        <v>0</v>
      </c>
      <c r="Y35" s="109">
        <f t="shared" si="4"/>
        <v>0</v>
      </c>
    </row>
    <row r="36" spans="1:25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f t="shared" si="5"/>
        <v>0</v>
      </c>
      <c r="N36" s="108">
        <f t="shared" si="1"/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f t="shared" si="2"/>
        <v>0</v>
      </c>
      <c r="X36" s="108">
        <f t="shared" si="3"/>
        <v>0</v>
      </c>
      <c r="Y36" s="109">
        <v>0</v>
      </c>
    </row>
    <row r="37" spans="1:25" x14ac:dyDescent="0.2">
      <c r="A37" s="65">
        <v>31</v>
      </c>
      <c r="B37" s="66" t="s">
        <v>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f t="shared" si="5"/>
        <v>0</v>
      </c>
      <c r="N37" s="108">
        <f t="shared" si="1"/>
        <v>0</v>
      </c>
      <c r="O37" s="108">
        <v>0</v>
      </c>
      <c r="P37" s="108">
        <v>0</v>
      </c>
      <c r="Q37" s="108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  <c r="W37" s="108">
        <f t="shared" si="2"/>
        <v>0</v>
      </c>
      <c r="X37" s="108">
        <f t="shared" si="3"/>
        <v>0</v>
      </c>
      <c r="Y37" s="109">
        <v>0</v>
      </c>
    </row>
    <row r="38" spans="1:25" x14ac:dyDescent="0.2">
      <c r="A38" s="65">
        <v>32</v>
      </c>
      <c r="B38" s="66" t="s">
        <v>52</v>
      </c>
      <c r="C38" s="108">
        <v>4</v>
      </c>
      <c r="D38" s="108">
        <v>35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1</v>
      </c>
      <c r="L38" s="108">
        <v>25</v>
      </c>
      <c r="M38" s="108">
        <f t="shared" si="5"/>
        <v>1</v>
      </c>
      <c r="N38" s="108">
        <f t="shared" si="1"/>
        <v>25</v>
      </c>
      <c r="O38" s="108">
        <v>0</v>
      </c>
      <c r="P38" s="108">
        <v>0</v>
      </c>
      <c r="Q38" s="108">
        <v>0</v>
      </c>
      <c r="R38" s="108">
        <v>0</v>
      </c>
      <c r="S38" s="108">
        <v>17</v>
      </c>
      <c r="T38" s="108">
        <v>22</v>
      </c>
      <c r="U38" s="108">
        <v>0</v>
      </c>
      <c r="V38" s="108">
        <v>0</v>
      </c>
      <c r="W38" s="108">
        <f t="shared" si="2"/>
        <v>18</v>
      </c>
      <c r="X38" s="108">
        <f t="shared" si="3"/>
        <v>47</v>
      </c>
      <c r="Y38" s="109">
        <f t="shared" si="4"/>
        <v>134.28571428571428</v>
      </c>
    </row>
    <row r="39" spans="1:25" x14ac:dyDescent="0.2">
      <c r="A39" s="65">
        <v>33</v>
      </c>
      <c r="B39" s="66" t="s">
        <v>218</v>
      </c>
      <c r="C39" s="108">
        <v>4</v>
      </c>
      <c r="D39" s="108">
        <v>11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f t="shared" si="5"/>
        <v>0</v>
      </c>
      <c r="N39" s="108">
        <f t="shared" si="1"/>
        <v>0</v>
      </c>
      <c r="O39" s="108">
        <v>0</v>
      </c>
      <c r="P39" s="108">
        <v>0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  <c r="W39" s="108">
        <f t="shared" si="2"/>
        <v>0</v>
      </c>
      <c r="X39" s="108">
        <f t="shared" si="3"/>
        <v>0</v>
      </c>
      <c r="Y39" s="109">
        <f t="shared" si="4"/>
        <v>0</v>
      </c>
    </row>
    <row r="40" spans="1:25" x14ac:dyDescent="0.2">
      <c r="A40" s="65">
        <v>34</v>
      </c>
      <c r="B40" s="66" t="s">
        <v>219</v>
      </c>
      <c r="C40" s="108">
        <v>6</v>
      </c>
      <c r="D40" s="108">
        <v>71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f t="shared" si="5"/>
        <v>0</v>
      </c>
      <c r="N40" s="108">
        <f t="shared" si="1"/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28</v>
      </c>
      <c r="V40" s="108">
        <v>27.89</v>
      </c>
      <c r="W40" s="108">
        <f t="shared" si="2"/>
        <v>28</v>
      </c>
      <c r="X40" s="108">
        <f t="shared" si="3"/>
        <v>27.89</v>
      </c>
      <c r="Y40" s="109">
        <f t="shared" si="4"/>
        <v>39.281690140845072</v>
      </c>
    </row>
    <row r="41" spans="1:25" x14ac:dyDescent="0.2">
      <c r="A41" s="65">
        <v>35</v>
      </c>
      <c r="B41" s="66" t="s">
        <v>220</v>
      </c>
      <c r="C41" s="108">
        <v>98</v>
      </c>
      <c r="D41" s="108">
        <v>1128</v>
      </c>
      <c r="E41" s="108">
        <v>0</v>
      </c>
      <c r="F41" s="108">
        <v>0</v>
      </c>
      <c r="G41" s="108">
        <v>1</v>
      </c>
      <c r="H41" s="108">
        <v>4424.8100000000004</v>
      </c>
      <c r="I41" s="108">
        <v>0</v>
      </c>
      <c r="J41" s="108">
        <v>0</v>
      </c>
      <c r="K41" s="108">
        <v>1</v>
      </c>
      <c r="L41" s="108">
        <v>1860</v>
      </c>
      <c r="M41" s="108">
        <f t="shared" si="5"/>
        <v>2</v>
      </c>
      <c r="N41" s="108">
        <f t="shared" si="1"/>
        <v>6284.81</v>
      </c>
      <c r="O41" s="108">
        <v>0</v>
      </c>
      <c r="P41" s="108">
        <v>0</v>
      </c>
      <c r="Q41" s="108">
        <v>4</v>
      </c>
      <c r="R41" s="108">
        <v>71.62</v>
      </c>
      <c r="S41" s="108">
        <v>6</v>
      </c>
      <c r="T41" s="108">
        <v>17.5</v>
      </c>
      <c r="U41" s="108">
        <v>1808</v>
      </c>
      <c r="V41" s="108">
        <v>2923.91</v>
      </c>
      <c r="W41" s="108">
        <f t="shared" si="2"/>
        <v>1820</v>
      </c>
      <c r="X41" s="108">
        <f t="shared" si="3"/>
        <v>9297.84</v>
      </c>
      <c r="Y41" s="109">
        <f t="shared" si="4"/>
        <v>824.27659574468089</v>
      </c>
    </row>
    <row r="42" spans="1:25" x14ac:dyDescent="0.2">
      <c r="A42" s="65">
        <v>36</v>
      </c>
      <c r="B42" s="66" t="s">
        <v>72</v>
      </c>
      <c r="C42" s="108">
        <v>2059</v>
      </c>
      <c r="D42" s="108">
        <v>30713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f t="shared" si="5"/>
        <v>0</v>
      </c>
      <c r="N42" s="108">
        <f t="shared" si="1"/>
        <v>0</v>
      </c>
      <c r="O42" s="108">
        <v>24</v>
      </c>
      <c r="P42" s="108">
        <v>33</v>
      </c>
      <c r="Q42" s="108">
        <v>0</v>
      </c>
      <c r="R42" s="108">
        <v>0</v>
      </c>
      <c r="S42" s="108">
        <v>6496</v>
      </c>
      <c r="T42" s="108">
        <v>18107.060000000001</v>
      </c>
      <c r="U42" s="108">
        <v>30871</v>
      </c>
      <c r="V42" s="108">
        <v>233769</v>
      </c>
      <c r="W42" s="108">
        <f t="shared" si="2"/>
        <v>37391</v>
      </c>
      <c r="X42" s="108">
        <f t="shared" si="3"/>
        <v>251909.06</v>
      </c>
      <c r="Y42" s="109">
        <f t="shared" si="4"/>
        <v>820.20336665255752</v>
      </c>
    </row>
    <row r="43" spans="1:25" x14ac:dyDescent="0.2">
      <c r="A43" s="65">
        <v>37</v>
      </c>
      <c r="B43" s="66" t="s">
        <v>73</v>
      </c>
      <c r="C43" s="108">
        <v>2523</v>
      </c>
      <c r="D43" s="108">
        <v>33233</v>
      </c>
      <c r="E43" s="108">
        <v>0</v>
      </c>
      <c r="F43" s="108">
        <v>0</v>
      </c>
      <c r="G43" s="108">
        <v>2330</v>
      </c>
      <c r="H43" s="108">
        <v>1509.4</v>
      </c>
      <c r="I43" s="108">
        <v>12</v>
      </c>
      <c r="J43" s="108">
        <v>2609</v>
      </c>
      <c r="K43" s="108">
        <v>6</v>
      </c>
      <c r="L43" s="108">
        <v>4766.3999999999996</v>
      </c>
      <c r="M43" s="108">
        <f t="shared" si="5"/>
        <v>2348</v>
      </c>
      <c r="N43" s="108">
        <f t="shared" si="1"/>
        <v>8884.7999999999993</v>
      </c>
      <c r="O43" s="108">
        <v>0</v>
      </c>
      <c r="P43" s="108">
        <v>0</v>
      </c>
      <c r="Q43" s="108">
        <v>308</v>
      </c>
      <c r="R43" s="108">
        <v>12406.11</v>
      </c>
      <c r="S43" s="108">
        <v>0</v>
      </c>
      <c r="T43" s="108">
        <v>0</v>
      </c>
      <c r="U43" s="108">
        <v>32286</v>
      </c>
      <c r="V43" s="108">
        <v>123383.71</v>
      </c>
      <c r="W43" s="108">
        <f t="shared" si="2"/>
        <v>34942</v>
      </c>
      <c r="X43" s="108">
        <f t="shared" si="3"/>
        <v>144674.62</v>
      </c>
      <c r="Y43" s="109">
        <f t="shared" si="4"/>
        <v>435.3342159901303</v>
      </c>
    </row>
    <row r="44" spans="1:25" x14ac:dyDescent="0.2">
      <c r="A44" s="65">
        <v>38</v>
      </c>
      <c r="B44" s="66" t="s">
        <v>221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f t="shared" si="5"/>
        <v>0</v>
      </c>
      <c r="N44" s="108">
        <f t="shared" si="1"/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8">
        <v>0</v>
      </c>
      <c r="W44" s="108">
        <f t="shared" si="2"/>
        <v>0</v>
      </c>
      <c r="X44" s="108">
        <f t="shared" si="3"/>
        <v>0</v>
      </c>
      <c r="Y44" s="109">
        <v>0</v>
      </c>
    </row>
    <row r="45" spans="1:25" x14ac:dyDescent="0.2">
      <c r="A45" s="65">
        <v>39</v>
      </c>
      <c r="B45" s="66" t="s">
        <v>222</v>
      </c>
      <c r="C45" s="108">
        <v>217</v>
      </c>
      <c r="D45" s="108">
        <v>1186</v>
      </c>
      <c r="E45" s="108">
        <v>8</v>
      </c>
      <c r="F45" s="108">
        <v>19701</v>
      </c>
      <c r="G45" s="108">
        <v>0</v>
      </c>
      <c r="H45" s="108">
        <v>0</v>
      </c>
      <c r="I45" s="108">
        <v>0</v>
      </c>
      <c r="J45" s="108">
        <v>0</v>
      </c>
      <c r="K45" s="108">
        <v>11</v>
      </c>
      <c r="L45" s="108">
        <v>779</v>
      </c>
      <c r="M45" s="108">
        <f t="shared" si="5"/>
        <v>11</v>
      </c>
      <c r="N45" s="108">
        <f t="shared" si="1"/>
        <v>779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5556</v>
      </c>
      <c r="V45" s="108">
        <v>27521</v>
      </c>
      <c r="W45" s="108">
        <f t="shared" si="2"/>
        <v>5575</v>
      </c>
      <c r="X45" s="108">
        <f t="shared" si="3"/>
        <v>48001</v>
      </c>
      <c r="Y45" s="109">
        <f t="shared" si="4"/>
        <v>4047.3018549747048</v>
      </c>
    </row>
    <row r="46" spans="1:25" x14ac:dyDescent="0.2">
      <c r="A46" s="65">
        <v>40</v>
      </c>
      <c r="B46" s="66" t="s">
        <v>223</v>
      </c>
      <c r="C46" s="108">
        <v>16</v>
      </c>
      <c r="D46" s="108">
        <v>175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f t="shared" si="5"/>
        <v>0</v>
      </c>
      <c r="N46" s="108">
        <f t="shared" si="1"/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8">
        <v>0</v>
      </c>
      <c r="W46" s="108">
        <f t="shared" si="2"/>
        <v>0</v>
      </c>
      <c r="X46" s="108">
        <f t="shared" si="3"/>
        <v>0</v>
      </c>
      <c r="Y46" s="109">
        <f t="shared" si="4"/>
        <v>0</v>
      </c>
    </row>
    <row r="47" spans="1:25" x14ac:dyDescent="0.2">
      <c r="A47" s="65">
        <v>41</v>
      </c>
      <c r="B47" s="66" t="s">
        <v>224</v>
      </c>
      <c r="C47" s="108">
        <v>9</v>
      </c>
      <c r="D47" s="108">
        <v>93</v>
      </c>
      <c r="E47" s="108">
        <v>3</v>
      </c>
      <c r="F47" s="108">
        <v>829.28</v>
      </c>
      <c r="G47" s="108">
        <v>0</v>
      </c>
      <c r="H47" s="108">
        <v>0</v>
      </c>
      <c r="I47" s="108">
        <v>2</v>
      </c>
      <c r="J47" s="108">
        <v>39.06</v>
      </c>
      <c r="K47" s="108">
        <v>1</v>
      </c>
      <c r="L47" s="108">
        <v>790.22</v>
      </c>
      <c r="M47" s="108">
        <f t="shared" si="5"/>
        <v>3</v>
      </c>
      <c r="N47" s="108">
        <f t="shared" si="1"/>
        <v>829.28</v>
      </c>
      <c r="O47" s="108">
        <v>0</v>
      </c>
      <c r="P47" s="108">
        <v>0</v>
      </c>
      <c r="Q47" s="108">
        <v>4</v>
      </c>
      <c r="R47" s="108">
        <v>119.36</v>
      </c>
      <c r="S47" s="108">
        <v>10</v>
      </c>
      <c r="T47" s="108">
        <v>94</v>
      </c>
      <c r="U47" s="108">
        <v>57</v>
      </c>
      <c r="V47" s="108">
        <v>554.78</v>
      </c>
      <c r="W47" s="108">
        <f t="shared" si="2"/>
        <v>77</v>
      </c>
      <c r="X47" s="108">
        <f t="shared" si="3"/>
        <v>2426.6999999999998</v>
      </c>
      <c r="Y47" s="109">
        <f t="shared" si="4"/>
        <v>2609.3548387096771</v>
      </c>
    </row>
    <row r="48" spans="1:25" x14ac:dyDescent="0.2">
      <c r="A48" s="65">
        <v>42</v>
      </c>
      <c r="B48" s="66" t="s">
        <v>225</v>
      </c>
      <c r="C48" s="108">
        <v>50</v>
      </c>
      <c r="D48" s="108">
        <v>530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f t="shared" si="5"/>
        <v>0</v>
      </c>
      <c r="N48" s="108">
        <f t="shared" si="1"/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8">
        <v>0</v>
      </c>
      <c r="W48" s="108">
        <f t="shared" si="2"/>
        <v>0</v>
      </c>
      <c r="X48" s="108">
        <f t="shared" si="3"/>
        <v>0</v>
      </c>
      <c r="Y48" s="109">
        <f t="shared" si="4"/>
        <v>0</v>
      </c>
    </row>
    <row r="49" spans="1:25" x14ac:dyDescent="0.2">
      <c r="A49" s="65">
        <v>43</v>
      </c>
      <c r="B49" s="66" t="s">
        <v>74</v>
      </c>
      <c r="C49" s="108">
        <v>75</v>
      </c>
      <c r="D49" s="108">
        <v>701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v>0</v>
      </c>
      <c r="L49" s="108">
        <v>0</v>
      </c>
      <c r="M49" s="108">
        <f t="shared" si="5"/>
        <v>0</v>
      </c>
      <c r="N49" s="108">
        <f t="shared" si="1"/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1326</v>
      </c>
      <c r="V49" s="108">
        <v>48730</v>
      </c>
      <c r="W49" s="108">
        <f t="shared" si="2"/>
        <v>1326</v>
      </c>
      <c r="X49" s="108">
        <f t="shared" si="3"/>
        <v>48730</v>
      </c>
      <c r="Y49" s="109">
        <f t="shared" si="4"/>
        <v>6951.4978601997145</v>
      </c>
    </row>
    <row r="50" spans="1:25" x14ac:dyDescent="0.2">
      <c r="A50" s="65">
        <v>44</v>
      </c>
      <c r="B50" s="66" t="s">
        <v>226</v>
      </c>
      <c r="C50" s="108">
        <v>16</v>
      </c>
      <c r="D50" s="108">
        <v>177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f t="shared" si="5"/>
        <v>0</v>
      </c>
      <c r="N50" s="108">
        <f t="shared" si="1"/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108">
        <v>0</v>
      </c>
      <c r="U50" s="108">
        <v>41</v>
      </c>
      <c r="V50" s="108">
        <v>3483</v>
      </c>
      <c r="W50" s="108">
        <f t="shared" si="2"/>
        <v>41</v>
      </c>
      <c r="X50" s="108">
        <f t="shared" si="3"/>
        <v>3483</v>
      </c>
      <c r="Y50" s="109">
        <f t="shared" si="4"/>
        <v>1967.7966101694915</v>
      </c>
    </row>
    <row r="51" spans="1:25" x14ac:dyDescent="0.2">
      <c r="A51" s="65">
        <v>45</v>
      </c>
      <c r="B51" s="66" t="s">
        <v>227</v>
      </c>
      <c r="C51" s="108">
        <v>4</v>
      </c>
      <c r="D51" s="108">
        <v>11</v>
      </c>
      <c r="E51" s="108">
        <v>33</v>
      </c>
      <c r="F51" s="108">
        <v>302.5</v>
      </c>
      <c r="G51" s="108">
        <v>0</v>
      </c>
      <c r="H51" s="108">
        <v>0</v>
      </c>
      <c r="I51" s="108">
        <v>0</v>
      </c>
      <c r="J51" s="108">
        <v>0</v>
      </c>
      <c r="K51" s="108">
        <v>2</v>
      </c>
      <c r="L51" s="108">
        <v>500</v>
      </c>
      <c r="M51" s="108">
        <f t="shared" si="5"/>
        <v>2</v>
      </c>
      <c r="N51" s="108">
        <f t="shared" si="1"/>
        <v>500</v>
      </c>
      <c r="O51" s="108">
        <v>0</v>
      </c>
      <c r="P51" s="108">
        <v>0</v>
      </c>
      <c r="Q51" s="108">
        <v>1</v>
      </c>
      <c r="R51" s="108">
        <v>7.8</v>
      </c>
      <c r="S51" s="108">
        <v>30</v>
      </c>
      <c r="T51" s="108">
        <v>78</v>
      </c>
      <c r="U51" s="108">
        <v>15</v>
      </c>
      <c r="V51" s="108">
        <v>2484</v>
      </c>
      <c r="W51" s="108">
        <f t="shared" si="2"/>
        <v>81</v>
      </c>
      <c r="X51" s="108">
        <f t="shared" si="3"/>
        <v>3372.3</v>
      </c>
      <c r="Y51" s="109">
        <f t="shared" si="4"/>
        <v>30657.272727272728</v>
      </c>
    </row>
    <row r="52" spans="1:25" s="117" customFormat="1" x14ac:dyDescent="0.2">
      <c r="A52" s="65">
        <v>46</v>
      </c>
      <c r="B52" s="66" t="s">
        <v>228</v>
      </c>
      <c r="C52" s="108">
        <v>12</v>
      </c>
      <c r="D52" s="108">
        <v>145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f t="shared" si="5"/>
        <v>0</v>
      </c>
      <c r="N52" s="108">
        <f t="shared" si="1"/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f t="shared" si="2"/>
        <v>0</v>
      </c>
      <c r="X52" s="108">
        <f t="shared" si="3"/>
        <v>0</v>
      </c>
      <c r="Y52" s="109">
        <v>0</v>
      </c>
    </row>
    <row r="53" spans="1:25" x14ac:dyDescent="0.2">
      <c r="A53" s="65">
        <v>47</v>
      </c>
      <c r="B53" s="66" t="s">
        <v>78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f t="shared" si="5"/>
        <v>0</v>
      </c>
      <c r="N53" s="108">
        <f t="shared" si="1"/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08">
        <f t="shared" si="2"/>
        <v>0</v>
      </c>
      <c r="X53" s="108">
        <f t="shared" si="3"/>
        <v>0</v>
      </c>
      <c r="Y53" s="109">
        <v>0</v>
      </c>
    </row>
    <row r="54" spans="1:25" x14ac:dyDescent="0.2">
      <c r="A54" s="65">
        <v>48</v>
      </c>
      <c r="B54" s="66" t="s">
        <v>229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f t="shared" si="5"/>
        <v>0</v>
      </c>
      <c r="N54" s="108">
        <f t="shared" si="1"/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08">
        <f t="shared" si="2"/>
        <v>0</v>
      </c>
      <c r="X54" s="108">
        <f t="shared" si="3"/>
        <v>0</v>
      </c>
      <c r="Y54" s="109">
        <v>0</v>
      </c>
    </row>
    <row r="55" spans="1:25" x14ac:dyDescent="0.2">
      <c r="A55" s="65">
        <v>49</v>
      </c>
      <c r="B55" s="66" t="s">
        <v>77</v>
      </c>
      <c r="C55" s="108">
        <v>107</v>
      </c>
      <c r="D55" s="108">
        <v>387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0</v>
      </c>
      <c r="K55" s="108">
        <v>0</v>
      </c>
      <c r="L55" s="108">
        <v>0</v>
      </c>
      <c r="M55" s="108">
        <f t="shared" si="5"/>
        <v>0</v>
      </c>
      <c r="N55" s="108">
        <f t="shared" si="1"/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8">
        <v>0</v>
      </c>
      <c r="W55" s="108">
        <f t="shared" si="2"/>
        <v>0</v>
      </c>
      <c r="X55" s="108">
        <f t="shared" si="3"/>
        <v>0</v>
      </c>
      <c r="Y55" s="109">
        <f t="shared" si="4"/>
        <v>0</v>
      </c>
    </row>
    <row r="56" spans="1:25" s="117" customFormat="1" x14ac:dyDescent="0.2">
      <c r="A56" s="384"/>
      <c r="B56" s="68" t="s">
        <v>408</v>
      </c>
      <c r="C56" s="115">
        <f>SUM(C34:C55)</f>
        <v>7022</v>
      </c>
      <c r="D56" s="115">
        <f t="shared" ref="D56:V56" si="11">SUM(D34:D55)</f>
        <v>78305</v>
      </c>
      <c r="E56" s="115">
        <f t="shared" si="11"/>
        <v>44</v>
      </c>
      <c r="F56" s="115">
        <f t="shared" si="11"/>
        <v>20832.78</v>
      </c>
      <c r="G56" s="115">
        <f t="shared" si="11"/>
        <v>2343</v>
      </c>
      <c r="H56" s="115">
        <f t="shared" si="11"/>
        <v>6077.7300000000014</v>
      </c>
      <c r="I56" s="115">
        <f t="shared" si="11"/>
        <v>14</v>
      </c>
      <c r="J56" s="115">
        <f t="shared" si="11"/>
        <v>2648.06</v>
      </c>
      <c r="K56" s="115">
        <f t="shared" si="11"/>
        <v>53</v>
      </c>
      <c r="L56" s="115">
        <f t="shared" si="11"/>
        <v>12000.439999999999</v>
      </c>
      <c r="M56" s="115">
        <f t="shared" ref="M56" si="12">SUM(M34:M55)</f>
        <v>2410</v>
      </c>
      <c r="N56" s="115">
        <f t="shared" ref="N56" si="13">SUM(N34:N55)</f>
        <v>20726.23</v>
      </c>
      <c r="O56" s="115">
        <f t="shared" si="11"/>
        <v>30</v>
      </c>
      <c r="P56" s="115">
        <f t="shared" si="11"/>
        <v>76.650000000000006</v>
      </c>
      <c r="Q56" s="115">
        <f t="shared" si="11"/>
        <v>748</v>
      </c>
      <c r="R56" s="115">
        <f t="shared" si="11"/>
        <v>23716.95</v>
      </c>
      <c r="S56" s="115">
        <f t="shared" si="11"/>
        <v>7376</v>
      </c>
      <c r="T56" s="115">
        <f t="shared" si="11"/>
        <v>26524.49</v>
      </c>
      <c r="U56" s="115">
        <f t="shared" si="11"/>
        <v>77838</v>
      </c>
      <c r="V56" s="115">
        <f t="shared" si="11"/>
        <v>466189.38000000006</v>
      </c>
      <c r="W56" s="115">
        <f t="shared" ref="W56" si="14">SUM(W34:W55)</f>
        <v>88446</v>
      </c>
      <c r="X56" s="115">
        <f t="shared" ref="X56" si="15">SUM(X34:X55)</f>
        <v>558066.48</v>
      </c>
      <c r="Y56" s="106">
        <f t="shared" si="4"/>
        <v>712.68307260072788</v>
      </c>
    </row>
    <row r="57" spans="1:25" x14ac:dyDescent="0.2">
      <c r="A57" s="65">
        <v>50</v>
      </c>
      <c r="B57" s="66" t="s">
        <v>47</v>
      </c>
      <c r="C57" s="108">
        <v>1666</v>
      </c>
      <c r="D57" s="108">
        <v>159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f t="shared" si="5"/>
        <v>0</v>
      </c>
      <c r="N57" s="108">
        <f t="shared" si="1"/>
        <v>0</v>
      </c>
      <c r="O57" s="108">
        <v>0</v>
      </c>
      <c r="P57" s="108">
        <v>0</v>
      </c>
      <c r="Q57" s="108">
        <v>34</v>
      </c>
      <c r="R57" s="108">
        <v>546</v>
      </c>
      <c r="S57" s="108">
        <v>682</v>
      </c>
      <c r="T57" s="108">
        <v>1505</v>
      </c>
      <c r="U57" s="108">
        <v>2923</v>
      </c>
      <c r="V57" s="108">
        <v>6429</v>
      </c>
      <c r="W57" s="108">
        <f t="shared" si="2"/>
        <v>3639</v>
      </c>
      <c r="X57" s="108">
        <f t="shared" si="3"/>
        <v>8480</v>
      </c>
      <c r="Y57" s="109">
        <f t="shared" si="4"/>
        <v>5333.333333333333</v>
      </c>
    </row>
    <row r="58" spans="1:25" s="117" customFormat="1" x14ac:dyDescent="0.2">
      <c r="A58" s="65">
        <v>51</v>
      </c>
      <c r="B58" s="66" t="s">
        <v>230</v>
      </c>
      <c r="C58" s="108">
        <v>1814</v>
      </c>
      <c r="D58" s="108">
        <v>415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v>0</v>
      </c>
      <c r="L58" s="108">
        <v>0</v>
      </c>
      <c r="M58" s="108">
        <f t="shared" si="5"/>
        <v>0</v>
      </c>
      <c r="N58" s="108">
        <f t="shared" si="1"/>
        <v>0</v>
      </c>
      <c r="O58" s="108">
        <v>0</v>
      </c>
      <c r="P58" s="108">
        <v>0</v>
      </c>
      <c r="Q58" s="108">
        <v>0</v>
      </c>
      <c r="R58" s="108">
        <v>0</v>
      </c>
      <c r="S58" s="108">
        <v>464</v>
      </c>
      <c r="T58" s="108">
        <v>835</v>
      </c>
      <c r="U58" s="108">
        <v>43653</v>
      </c>
      <c r="V58" s="108">
        <v>10142</v>
      </c>
      <c r="W58" s="108">
        <f t="shared" si="2"/>
        <v>44117</v>
      </c>
      <c r="X58" s="108">
        <f t="shared" si="3"/>
        <v>10977</v>
      </c>
      <c r="Y58" s="109">
        <f t="shared" si="4"/>
        <v>2645.0602409638554</v>
      </c>
    </row>
    <row r="59" spans="1:25" s="117" customFormat="1" x14ac:dyDescent="0.2">
      <c r="A59" s="65">
        <v>53</v>
      </c>
      <c r="B59" s="66" t="s">
        <v>53</v>
      </c>
      <c r="C59" s="108">
        <v>1105</v>
      </c>
      <c r="D59" s="108">
        <v>861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f t="shared" si="5"/>
        <v>0</v>
      </c>
      <c r="N59" s="108">
        <f t="shared" si="1"/>
        <v>0</v>
      </c>
      <c r="O59" s="108">
        <v>0</v>
      </c>
      <c r="P59" s="108">
        <v>0</v>
      </c>
      <c r="Q59" s="108">
        <v>915</v>
      </c>
      <c r="R59" s="108">
        <v>890</v>
      </c>
      <c r="S59" s="108">
        <v>258</v>
      </c>
      <c r="T59" s="108">
        <v>252</v>
      </c>
      <c r="U59" s="108">
        <v>21805</v>
      </c>
      <c r="V59" s="108">
        <v>36854</v>
      </c>
      <c r="W59" s="108">
        <f t="shared" si="2"/>
        <v>22978</v>
      </c>
      <c r="X59" s="108">
        <f t="shared" si="3"/>
        <v>37996</v>
      </c>
      <c r="Y59" s="109">
        <f t="shared" si="4"/>
        <v>4413.0081300813008</v>
      </c>
    </row>
    <row r="60" spans="1:25" s="117" customFormat="1" x14ac:dyDescent="0.2">
      <c r="A60" s="384"/>
      <c r="B60" s="68" t="s">
        <v>415</v>
      </c>
      <c r="C60" s="115">
        <f>SUM(C57:C59)</f>
        <v>4585</v>
      </c>
      <c r="D60" s="115">
        <f t="shared" ref="D60:V60" si="16">SUM(D57:D59)</f>
        <v>1435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15">
        <f t="shared" si="16"/>
        <v>0</v>
      </c>
      <c r="J60" s="115">
        <f t="shared" si="16"/>
        <v>0</v>
      </c>
      <c r="K60" s="115">
        <f t="shared" si="16"/>
        <v>0</v>
      </c>
      <c r="L60" s="115">
        <f t="shared" si="16"/>
        <v>0</v>
      </c>
      <c r="M60" s="115">
        <f t="shared" ref="M60" si="17">SUM(M57:M59)</f>
        <v>0</v>
      </c>
      <c r="N60" s="115">
        <f t="shared" ref="N60" si="18">SUM(N57:N59)</f>
        <v>0</v>
      </c>
      <c r="O60" s="115">
        <f t="shared" si="16"/>
        <v>0</v>
      </c>
      <c r="P60" s="115">
        <f t="shared" si="16"/>
        <v>0</v>
      </c>
      <c r="Q60" s="115">
        <f t="shared" si="16"/>
        <v>949</v>
      </c>
      <c r="R60" s="115">
        <f t="shared" si="16"/>
        <v>1436</v>
      </c>
      <c r="S60" s="115">
        <f t="shared" si="16"/>
        <v>1404</v>
      </c>
      <c r="T60" s="115">
        <f t="shared" si="16"/>
        <v>2592</v>
      </c>
      <c r="U60" s="115">
        <f t="shared" si="16"/>
        <v>68381</v>
      </c>
      <c r="V60" s="115">
        <f t="shared" si="16"/>
        <v>53425</v>
      </c>
      <c r="W60" s="115">
        <f t="shared" ref="W60" si="19">SUM(W57:W59)</f>
        <v>70734</v>
      </c>
      <c r="X60" s="115">
        <f t="shared" ref="X60" si="20">SUM(X57:X59)</f>
        <v>57453</v>
      </c>
      <c r="Y60" s="106">
        <f t="shared" si="4"/>
        <v>4003.693379790941</v>
      </c>
    </row>
    <row r="61" spans="1:25" x14ac:dyDescent="0.2">
      <c r="A61" s="65">
        <v>53</v>
      </c>
      <c r="B61" s="66" t="s">
        <v>409</v>
      </c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f t="shared" si="5"/>
        <v>0</v>
      </c>
      <c r="N61" s="108">
        <f t="shared" si="1"/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f>U61+S61+Q61+O61+M61+E61</f>
        <v>0</v>
      </c>
      <c r="X61" s="108">
        <f>V61+T61+R61+P61+N61+F61</f>
        <v>0</v>
      </c>
      <c r="Y61" s="109">
        <v>0</v>
      </c>
    </row>
    <row r="62" spans="1:25" s="117" customFormat="1" x14ac:dyDescent="0.2">
      <c r="A62" s="384"/>
      <c r="B62" s="68" t="s">
        <v>410</v>
      </c>
      <c r="C62" s="115">
        <f>C61</f>
        <v>0</v>
      </c>
      <c r="D62" s="115">
        <f t="shared" ref="D62:V62" si="21">D61</f>
        <v>0</v>
      </c>
      <c r="E62" s="115">
        <f t="shared" si="21"/>
        <v>0</v>
      </c>
      <c r="F62" s="115">
        <f t="shared" si="21"/>
        <v>0</v>
      </c>
      <c r="G62" s="115">
        <f t="shared" si="21"/>
        <v>0</v>
      </c>
      <c r="H62" s="115">
        <f t="shared" si="21"/>
        <v>0</v>
      </c>
      <c r="I62" s="115">
        <f t="shared" si="21"/>
        <v>0</v>
      </c>
      <c r="J62" s="115">
        <f t="shared" si="21"/>
        <v>0</v>
      </c>
      <c r="K62" s="115">
        <f t="shared" si="21"/>
        <v>0</v>
      </c>
      <c r="L62" s="115">
        <f t="shared" si="21"/>
        <v>0</v>
      </c>
      <c r="M62" s="115">
        <f t="shared" ref="M62" si="22">M61</f>
        <v>0</v>
      </c>
      <c r="N62" s="115">
        <f t="shared" ref="N62" si="23">N61</f>
        <v>0</v>
      </c>
      <c r="O62" s="115">
        <f t="shared" si="21"/>
        <v>0</v>
      </c>
      <c r="P62" s="115">
        <f t="shared" si="21"/>
        <v>0</v>
      </c>
      <c r="Q62" s="115">
        <f t="shared" si="21"/>
        <v>0</v>
      </c>
      <c r="R62" s="115">
        <f t="shared" si="21"/>
        <v>0</v>
      </c>
      <c r="S62" s="115">
        <f t="shared" si="21"/>
        <v>0</v>
      </c>
      <c r="T62" s="115">
        <f t="shared" si="21"/>
        <v>0</v>
      </c>
      <c r="U62" s="115">
        <f t="shared" si="21"/>
        <v>0</v>
      </c>
      <c r="V62" s="115">
        <f t="shared" si="21"/>
        <v>0</v>
      </c>
      <c r="W62" s="115">
        <f t="shared" ref="W62" si="24">W61</f>
        <v>0</v>
      </c>
      <c r="X62" s="115">
        <f t="shared" ref="X62" si="25">X61</f>
        <v>0</v>
      </c>
      <c r="Y62" s="106">
        <v>0</v>
      </c>
    </row>
    <row r="63" spans="1:25" s="117" customFormat="1" x14ac:dyDescent="0.2">
      <c r="A63" s="384"/>
      <c r="B63" s="68" t="s">
        <v>411</v>
      </c>
      <c r="C63" s="115">
        <f>C62+C60+C56+C33</f>
        <v>57369</v>
      </c>
      <c r="D63" s="115">
        <f t="shared" ref="D63:V63" si="26">D62+D60+D56+D33</f>
        <v>325152</v>
      </c>
      <c r="E63" s="115">
        <f t="shared" si="26"/>
        <v>6970</v>
      </c>
      <c r="F63" s="115">
        <f t="shared" si="26"/>
        <v>88173.78</v>
      </c>
      <c r="G63" s="115">
        <f t="shared" si="26"/>
        <v>4746</v>
      </c>
      <c r="H63" s="115">
        <f t="shared" si="26"/>
        <v>19361.07</v>
      </c>
      <c r="I63" s="115">
        <f t="shared" si="26"/>
        <v>808</v>
      </c>
      <c r="J63" s="115">
        <f t="shared" si="26"/>
        <v>84673.279999999999</v>
      </c>
      <c r="K63" s="115">
        <f t="shared" si="26"/>
        <v>190</v>
      </c>
      <c r="L63" s="115">
        <f t="shared" si="26"/>
        <v>33651.679999999993</v>
      </c>
      <c r="M63" s="115">
        <f t="shared" ref="M63" si="27">M62+M60+M56+M33</f>
        <v>5744</v>
      </c>
      <c r="N63" s="115">
        <f t="shared" ref="N63" si="28">N62+N60+N56+N33</f>
        <v>137686.03</v>
      </c>
      <c r="O63" s="115">
        <f t="shared" si="26"/>
        <v>1222</v>
      </c>
      <c r="P63" s="115">
        <f t="shared" si="26"/>
        <v>7589.74</v>
      </c>
      <c r="Q63" s="115">
        <f t="shared" si="26"/>
        <v>8243</v>
      </c>
      <c r="R63" s="115">
        <f t="shared" si="26"/>
        <v>86803.66</v>
      </c>
      <c r="S63" s="115">
        <f t="shared" si="26"/>
        <v>50882</v>
      </c>
      <c r="T63" s="115">
        <f t="shared" si="26"/>
        <v>127713.02</v>
      </c>
      <c r="U63" s="115">
        <f t="shared" si="26"/>
        <v>179122</v>
      </c>
      <c r="V63" s="115">
        <f t="shared" si="26"/>
        <v>1066603.4200000002</v>
      </c>
      <c r="W63" s="115">
        <f t="shared" ref="W63" si="29">W62+W60+W56+W33</f>
        <v>252183</v>
      </c>
      <c r="X63" s="115">
        <f t="shared" ref="X63" si="30">X62+X60+X56+X33</f>
        <v>1514569.65</v>
      </c>
      <c r="Y63" s="106">
        <f t="shared" si="4"/>
        <v>465.80357801889579</v>
      </c>
    </row>
    <row r="64" spans="1:25" s="117" customFormat="1" x14ac:dyDescent="0.2"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</row>
  </sheetData>
  <mergeCells count="18">
    <mergeCell ref="Y3:Y5"/>
    <mergeCell ref="C4:C5"/>
    <mergeCell ref="D4:D5"/>
    <mergeCell ref="G4:H4"/>
    <mergeCell ref="I4:J4"/>
    <mergeCell ref="K4:L4"/>
    <mergeCell ref="M4:N4"/>
    <mergeCell ref="W3:X4"/>
    <mergeCell ref="A1:X1"/>
    <mergeCell ref="A3:A5"/>
    <mergeCell ref="B3:B5"/>
    <mergeCell ref="C3:D3"/>
    <mergeCell ref="E3:F4"/>
    <mergeCell ref="G3:N3"/>
    <mergeCell ref="O3:P4"/>
    <mergeCell ref="Q3:R4"/>
    <mergeCell ref="S3:T4"/>
    <mergeCell ref="U3:V4"/>
  </mergeCells>
  <conditionalFormatting sqref="B6">
    <cfRule type="duplicateValues" dxfId="100" priority="2"/>
  </conditionalFormatting>
  <conditionalFormatting sqref="B22">
    <cfRule type="duplicateValues" dxfId="99" priority="3"/>
  </conditionalFormatting>
  <conditionalFormatting sqref="B33:B34 B26:B30">
    <cfRule type="duplicateValues" dxfId="98" priority="4"/>
  </conditionalFormatting>
  <conditionalFormatting sqref="B52">
    <cfRule type="duplicateValues" dxfId="97" priority="5"/>
  </conditionalFormatting>
  <conditionalFormatting sqref="B56">
    <cfRule type="duplicateValues" dxfId="96" priority="6"/>
  </conditionalFormatting>
  <conditionalFormatting sqref="B58">
    <cfRule type="duplicateValues" dxfId="95" priority="7"/>
  </conditionalFormatting>
  <conditionalFormatting sqref="Y1:Y1048576">
    <cfRule type="cellIs" dxfId="94" priority="1" stopIfTrue="1" operator="greaterThan">
      <formula>100</formula>
    </cfRule>
  </conditionalFormatting>
  <pageMargins left="1.45" right="0.7" top="0.25" bottom="0.25" header="0.3" footer="0.3"/>
  <pageSetup paperSize="9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theme="7" tint="0.59999389629810485"/>
  </sheetPr>
  <dimension ref="A1:O6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3" sqref="D13"/>
    </sheetView>
  </sheetViews>
  <sheetFormatPr defaultRowHeight="15" x14ac:dyDescent="0.2"/>
  <cols>
    <col min="1" max="1" width="6" style="179" customWidth="1"/>
    <col min="2" max="2" width="29.28515625" style="37" customWidth="1"/>
    <col min="3" max="3" width="10.28515625" style="37" customWidth="1"/>
    <col min="4" max="4" width="10.5703125" style="37" customWidth="1"/>
    <col min="5" max="5" width="11.5703125" style="37" customWidth="1"/>
    <col min="6" max="6" width="10.85546875" style="37" customWidth="1"/>
    <col min="7" max="7" width="9.140625" style="38"/>
    <col min="8" max="8" width="9.140625" style="37" hidden="1" customWidth="1"/>
    <col min="9" max="10" width="9.140625" style="178" hidden="1" customWidth="1"/>
    <col min="11" max="13" width="9.140625" style="178" customWidth="1"/>
    <col min="14" max="15" width="9.140625" style="178"/>
    <col min="16" max="16384" width="9.140625" style="37"/>
  </cols>
  <sheetData>
    <row r="1" spans="1:9" s="37" customFormat="1" ht="18.75" customHeight="1" x14ac:dyDescent="0.2">
      <c r="A1" s="462" t="s">
        <v>484</v>
      </c>
      <c r="B1" s="462"/>
      <c r="C1" s="462"/>
      <c r="D1" s="462"/>
      <c r="E1" s="462"/>
      <c r="F1" s="462"/>
      <c r="G1" s="462"/>
      <c r="I1" s="178"/>
    </row>
    <row r="2" spans="1:9" s="37" customFormat="1" x14ac:dyDescent="0.2">
      <c r="A2" s="467" t="s">
        <v>118</v>
      </c>
      <c r="B2" s="467"/>
      <c r="C2" s="467"/>
      <c r="D2" s="467"/>
      <c r="E2" s="467"/>
      <c r="F2" s="467"/>
      <c r="G2" s="38"/>
      <c r="I2" s="178"/>
    </row>
    <row r="3" spans="1:9" s="37" customFormat="1" ht="25.5" customHeight="1" x14ac:dyDescent="0.2">
      <c r="A3" s="179"/>
      <c r="B3" s="43" t="s">
        <v>12</v>
      </c>
      <c r="C3" s="468"/>
      <c r="D3" s="468"/>
      <c r="E3" s="472" t="s">
        <v>44</v>
      </c>
      <c r="F3" s="472"/>
      <c r="G3" s="38"/>
      <c r="I3" s="178"/>
    </row>
    <row r="4" spans="1:9" s="37" customFormat="1" ht="15" customHeight="1" x14ac:dyDescent="0.2">
      <c r="A4" s="469" t="s">
        <v>169</v>
      </c>
      <c r="B4" s="469" t="s">
        <v>3</v>
      </c>
      <c r="C4" s="463" t="s">
        <v>39</v>
      </c>
      <c r="D4" s="464"/>
      <c r="E4" s="463" t="s">
        <v>13</v>
      </c>
      <c r="F4" s="464"/>
      <c r="G4" s="465" t="s">
        <v>119</v>
      </c>
      <c r="I4" s="178"/>
    </row>
    <row r="5" spans="1:9" s="37" customFormat="1" x14ac:dyDescent="0.2">
      <c r="A5" s="470"/>
      <c r="B5" s="471"/>
      <c r="C5" s="197" t="s">
        <v>30</v>
      </c>
      <c r="D5" s="197" t="s">
        <v>17</v>
      </c>
      <c r="E5" s="197" t="s">
        <v>30</v>
      </c>
      <c r="F5" s="180" t="s">
        <v>17</v>
      </c>
      <c r="G5" s="466"/>
      <c r="I5" s="178"/>
    </row>
    <row r="6" spans="1:9" s="37" customFormat="1" ht="15" customHeight="1" x14ac:dyDescent="0.2">
      <c r="A6" s="196">
        <v>1</v>
      </c>
      <c r="B6" s="168" t="s">
        <v>56</v>
      </c>
      <c r="C6" s="308">
        <f>NPA_PS_14!M6+NPA_NPS_15!K6</f>
        <v>17736</v>
      </c>
      <c r="D6" s="75">
        <f>NPA_PS_14!N6+NPA_NPS_15!L6</f>
        <v>53266.559999999998</v>
      </c>
      <c r="E6" s="308">
        <f>'Pri Sec_outstanding_6'!O6+NPS_OS_8!U6</f>
        <v>162555</v>
      </c>
      <c r="F6" s="308">
        <f>'CD Ratio_3(i)'!F6</f>
        <v>719997</v>
      </c>
      <c r="G6" s="326">
        <f>D6*100/F6</f>
        <v>7.3981641590173295</v>
      </c>
      <c r="H6" s="37" t="e">
        <f>NPA_PS_14!N6+NPA_NPS_15!#REF!</f>
        <v>#REF!</v>
      </c>
      <c r="I6" s="178" t="e">
        <f>H6-D6</f>
        <v>#REF!</v>
      </c>
    </row>
    <row r="7" spans="1:9" s="37" customFormat="1" ht="15" customHeight="1" x14ac:dyDescent="0.2">
      <c r="A7" s="196">
        <v>2</v>
      </c>
      <c r="B7" s="168" t="s">
        <v>57</v>
      </c>
      <c r="C7" s="308">
        <f>NPA_PS_14!M7+NPA_NPS_15!K7</f>
        <v>283</v>
      </c>
      <c r="D7" s="75">
        <f>NPA_PS_14!N7+NPA_NPS_15!L7</f>
        <v>2134.4</v>
      </c>
      <c r="E7" s="308">
        <f>'Pri Sec_outstanding_6'!O7+NPS_OS_8!U7</f>
        <v>6232</v>
      </c>
      <c r="F7" s="308">
        <f>'CD Ratio_3(i)'!F7</f>
        <v>50354.93</v>
      </c>
      <c r="G7" s="326">
        <f t="shared" ref="G7:G63" si="0">D7*100/F7</f>
        <v>4.2387110854885508</v>
      </c>
      <c r="H7" s="37">
        <f>NPA_PS_14!N7+NPA_NPS_15!L6</f>
        <v>3656.76</v>
      </c>
      <c r="I7" s="178">
        <f t="shared" ref="I7:I59" si="1">H7-D7</f>
        <v>1522.3600000000001</v>
      </c>
    </row>
    <row r="8" spans="1:9" s="37" customFormat="1" ht="15" customHeight="1" x14ac:dyDescent="0.2">
      <c r="A8" s="196">
        <v>3</v>
      </c>
      <c r="B8" s="168" t="s">
        <v>58</v>
      </c>
      <c r="C8" s="308">
        <f>NPA_PS_14!M8+NPA_NPS_15!K8</f>
        <v>13226</v>
      </c>
      <c r="D8" s="75">
        <f>NPA_PS_14!N8+NPA_NPS_15!L8</f>
        <v>87373</v>
      </c>
      <c r="E8" s="308">
        <f>'Pri Sec_outstanding_6'!O8+NPS_OS_8!U8</f>
        <v>103027</v>
      </c>
      <c r="F8" s="308">
        <f>'CD Ratio_3(i)'!F8</f>
        <v>705600</v>
      </c>
      <c r="G8" s="326">
        <f t="shared" si="0"/>
        <v>12.382794784580499</v>
      </c>
      <c r="H8" s="37">
        <f>NPA_PS_14!N8+NPA_NPS_15!L7</f>
        <v>60479.5</v>
      </c>
      <c r="I8" s="178">
        <f t="shared" si="1"/>
        <v>-26893.5</v>
      </c>
    </row>
    <row r="9" spans="1:9" s="37" customFormat="1" ht="15" customHeight="1" x14ac:dyDescent="0.2">
      <c r="A9" s="196">
        <v>4</v>
      </c>
      <c r="B9" s="168" t="s">
        <v>59</v>
      </c>
      <c r="C9" s="308">
        <f>NPA_PS_14!M9+NPA_NPS_15!K9</f>
        <v>46773</v>
      </c>
      <c r="D9" s="75">
        <f>NPA_PS_14!N9+NPA_NPS_15!L9</f>
        <v>77106</v>
      </c>
      <c r="E9" s="308">
        <f>'Pri Sec_outstanding_6'!O9+NPS_OS_8!U9</f>
        <v>706819</v>
      </c>
      <c r="F9" s="308">
        <f>'CD Ratio_3(i)'!F9</f>
        <v>1651247</v>
      </c>
      <c r="G9" s="326">
        <f t="shared" si="0"/>
        <v>4.66956185234553</v>
      </c>
      <c r="H9" s="37">
        <f>NPA_PS_14!N9+NPA_NPS_15!L8</f>
        <v>83199.5</v>
      </c>
      <c r="I9" s="178">
        <f t="shared" si="1"/>
        <v>6093.5</v>
      </c>
    </row>
    <row r="10" spans="1:9" s="37" customFormat="1" ht="15" customHeight="1" x14ac:dyDescent="0.2">
      <c r="A10" s="196">
        <v>5</v>
      </c>
      <c r="B10" s="168" t="s">
        <v>60</v>
      </c>
      <c r="C10" s="308">
        <f>NPA_PS_14!M10+NPA_NPS_15!K10</f>
        <v>17407</v>
      </c>
      <c r="D10" s="75">
        <f>NPA_PS_14!N10+NPA_NPS_15!L10</f>
        <v>30705</v>
      </c>
      <c r="E10" s="308">
        <f>'Pri Sec_outstanding_6'!O10+NPS_OS_8!U10</f>
        <v>104034</v>
      </c>
      <c r="F10" s="308">
        <f>'CD Ratio_3(i)'!F10</f>
        <v>315826</v>
      </c>
      <c r="G10" s="326">
        <f t="shared" si="0"/>
        <v>9.7221254741534899</v>
      </c>
      <c r="H10" s="37">
        <f>NPA_PS_14!N10+NPA_NPS_15!L9</f>
        <v>51505</v>
      </c>
      <c r="I10" s="178">
        <f t="shared" si="1"/>
        <v>20800</v>
      </c>
    </row>
    <row r="11" spans="1:9" s="37" customFormat="1" ht="15" customHeight="1" x14ac:dyDescent="0.2">
      <c r="A11" s="196">
        <v>6</v>
      </c>
      <c r="B11" s="323" t="s">
        <v>244</v>
      </c>
      <c r="C11" s="308">
        <f>NPA_PS_14!M11+NPA_NPS_15!K11</f>
        <v>0</v>
      </c>
      <c r="D11" s="75">
        <f>NPA_PS_14!N11+NPA_NPS_15!L11</f>
        <v>0</v>
      </c>
      <c r="E11" s="308">
        <f>'Pri Sec_outstanding_6'!O11+NPS_OS_8!U11</f>
        <v>328</v>
      </c>
      <c r="F11" s="308">
        <f>'CD Ratio_3(i)'!F11</f>
        <v>573</v>
      </c>
      <c r="G11" s="326">
        <f t="shared" si="0"/>
        <v>0</v>
      </c>
      <c r="H11" s="37">
        <f>NPA_PS_14!N11+NPA_NPS_15!L10</f>
        <v>0</v>
      </c>
      <c r="I11" s="178">
        <f t="shared" si="1"/>
        <v>0</v>
      </c>
    </row>
    <row r="12" spans="1:9" s="37" customFormat="1" ht="15" customHeight="1" x14ac:dyDescent="0.2">
      <c r="A12" s="196">
        <v>7</v>
      </c>
      <c r="B12" s="168" t="s">
        <v>61</v>
      </c>
      <c r="C12" s="308">
        <f>NPA_PS_14!M12+NPA_NPS_15!K12</f>
        <v>7284</v>
      </c>
      <c r="D12" s="75">
        <f>NPA_PS_14!N12+NPA_NPS_15!L12</f>
        <v>25051</v>
      </c>
      <c r="E12" s="308">
        <f>'Pri Sec_outstanding_6'!O12+NPS_OS_8!U12</f>
        <v>91065</v>
      </c>
      <c r="F12" s="308">
        <f>'CD Ratio_3(i)'!F12</f>
        <v>416087</v>
      </c>
      <c r="G12" s="326">
        <f t="shared" si="0"/>
        <v>6.0206158808133878</v>
      </c>
      <c r="H12" s="37">
        <f>NPA_PS_14!N12+NPA_NPS_15!L11</f>
        <v>21913</v>
      </c>
      <c r="I12" s="178">
        <f t="shared" si="1"/>
        <v>-3138</v>
      </c>
    </row>
    <row r="13" spans="1:9" s="37" customFormat="1" ht="15" customHeight="1" x14ac:dyDescent="0.2">
      <c r="A13" s="196">
        <v>8</v>
      </c>
      <c r="B13" s="168" t="s">
        <v>62</v>
      </c>
      <c r="C13" s="308">
        <f>NPA_PS_14!M13+NPA_NPS_15!K13</f>
        <v>69102</v>
      </c>
      <c r="D13" s="75">
        <f>NPA_PS_14!N13+NPA_NPS_15!L13</f>
        <v>109757</v>
      </c>
      <c r="E13" s="308">
        <f>'Pri Sec_outstanding_6'!O13+NPS_OS_8!U13</f>
        <v>490121</v>
      </c>
      <c r="F13" s="308">
        <f>'CD Ratio_3(i)'!F13</f>
        <v>1234413.5900000001</v>
      </c>
      <c r="G13" s="326">
        <f t="shared" si="0"/>
        <v>8.8914283583025036</v>
      </c>
      <c r="H13" s="37">
        <f>NPA_PS_14!N13+NPA_NPS_15!L12</f>
        <v>72070</v>
      </c>
      <c r="I13" s="178">
        <f t="shared" si="1"/>
        <v>-37687</v>
      </c>
    </row>
    <row r="14" spans="1:9" s="37" customFormat="1" ht="15" customHeight="1" x14ac:dyDescent="0.2">
      <c r="A14" s="196">
        <v>9</v>
      </c>
      <c r="B14" s="168" t="s">
        <v>49</v>
      </c>
      <c r="C14" s="308">
        <f>NPA_PS_14!M14+NPA_NPS_15!K14</f>
        <v>1169</v>
      </c>
      <c r="D14" s="75">
        <f>NPA_PS_14!N14+NPA_NPS_15!L14</f>
        <v>9763</v>
      </c>
      <c r="E14" s="308">
        <f>'Pri Sec_outstanding_6'!O14+NPS_OS_8!U14</f>
        <v>21159</v>
      </c>
      <c r="F14" s="308">
        <f>'CD Ratio_3(i)'!F14</f>
        <v>318609</v>
      </c>
      <c r="G14" s="326">
        <f t="shared" si="0"/>
        <v>3.064257444077223</v>
      </c>
      <c r="H14" s="37">
        <f>NPA_PS_14!N14+NPA_NPS_15!L13</f>
        <v>50588</v>
      </c>
      <c r="I14" s="178">
        <f t="shared" si="1"/>
        <v>40825</v>
      </c>
    </row>
    <row r="15" spans="1:9" s="37" customFormat="1" ht="15" customHeight="1" x14ac:dyDescent="0.2">
      <c r="A15" s="196">
        <v>10</v>
      </c>
      <c r="B15" s="168" t="s">
        <v>50</v>
      </c>
      <c r="C15" s="308">
        <f>NPA_PS_14!M15+NPA_NPS_15!K15</f>
        <v>8946</v>
      </c>
      <c r="D15" s="75">
        <f>NPA_PS_14!N15+NPA_NPS_15!L15</f>
        <v>12530</v>
      </c>
      <c r="E15" s="308">
        <f>'Pri Sec_outstanding_6'!O15+NPS_OS_8!U15</f>
        <v>30118</v>
      </c>
      <c r="F15" s="308">
        <f>'CD Ratio_3(i)'!F15</f>
        <v>193733.15</v>
      </c>
      <c r="G15" s="326">
        <f t="shared" si="0"/>
        <v>6.4676592519142959</v>
      </c>
      <c r="H15" s="37">
        <f>NPA_PS_14!N15+NPA_NPS_15!L14</f>
        <v>8124</v>
      </c>
      <c r="I15" s="178">
        <f t="shared" si="1"/>
        <v>-4406</v>
      </c>
    </row>
    <row r="16" spans="1:9" s="37" customFormat="1" ht="15" customHeight="1" x14ac:dyDescent="0.2">
      <c r="A16" s="196">
        <v>11</v>
      </c>
      <c r="B16" s="168" t="s">
        <v>82</v>
      </c>
      <c r="C16" s="308">
        <f>NPA_PS_14!M16+NPA_NPS_15!K16</f>
        <v>976</v>
      </c>
      <c r="D16" s="75">
        <f>NPA_PS_14!N16+NPA_NPS_15!L16</f>
        <v>57560</v>
      </c>
      <c r="E16" s="308">
        <f>'Pri Sec_outstanding_6'!O16+NPS_OS_8!U16</f>
        <v>64676</v>
      </c>
      <c r="F16" s="308">
        <f>'CD Ratio_3(i)'!F16</f>
        <v>373637</v>
      </c>
      <c r="G16" s="326">
        <f t="shared" si="0"/>
        <v>15.405326560271066</v>
      </c>
      <c r="H16" s="37">
        <f>NPA_PS_14!N16+NPA_NPS_15!L15</f>
        <v>9520</v>
      </c>
      <c r="I16" s="178">
        <f t="shared" si="1"/>
        <v>-48040</v>
      </c>
    </row>
    <row r="17" spans="1:9" s="37" customFormat="1" ht="15" customHeight="1" x14ac:dyDescent="0.2">
      <c r="A17" s="196">
        <v>12</v>
      </c>
      <c r="B17" s="168" t="s">
        <v>63</v>
      </c>
      <c r="C17" s="308">
        <f>NPA_PS_14!M17+NPA_NPS_15!K17</f>
        <v>491</v>
      </c>
      <c r="D17" s="75">
        <f>NPA_PS_14!N17+NPA_NPS_15!L17</f>
        <v>4132.79</v>
      </c>
      <c r="E17" s="308">
        <f>'Pri Sec_outstanding_6'!O17+NPS_OS_8!U17</f>
        <v>8747</v>
      </c>
      <c r="F17" s="308">
        <f>'CD Ratio_3(i)'!F17</f>
        <v>33209.68</v>
      </c>
      <c r="G17" s="326">
        <f t="shared" si="0"/>
        <v>12.444534244232404</v>
      </c>
      <c r="H17" s="37">
        <f>NPA_PS_14!N17+NPA_NPS_15!L16</f>
        <v>53368.45</v>
      </c>
      <c r="I17" s="178">
        <f t="shared" si="1"/>
        <v>49235.659999999996</v>
      </c>
    </row>
    <row r="18" spans="1:9" s="37" customFormat="1" ht="15" customHeight="1" x14ac:dyDescent="0.2">
      <c r="A18" s="196">
        <v>13</v>
      </c>
      <c r="B18" s="168" t="s">
        <v>64</v>
      </c>
      <c r="C18" s="308">
        <f>NPA_PS_14!M18+NPA_NPS_15!K18</f>
        <v>854</v>
      </c>
      <c r="D18" s="75">
        <f>NPA_PS_14!N18+NPA_NPS_15!L18</f>
        <v>17755.2</v>
      </c>
      <c r="E18" s="308">
        <f>'Pri Sec_outstanding_6'!O18+NPS_OS_8!U18</f>
        <v>15463</v>
      </c>
      <c r="F18" s="308">
        <f>'CD Ratio_3(i)'!F18</f>
        <v>97465</v>
      </c>
      <c r="G18" s="326">
        <f t="shared" si="0"/>
        <v>18.217000974708871</v>
      </c>
      <c r="H18" s="37">
        <f>NPA_PS_14!N18+NPA_NPS_15!L17</f>
        <v>4682.1499999999996</v>
      </c>
      <c r="I18" s="178">
        <f t="shared" si="1"/>
        <v>-13073.050000000001</v>
      </c>
    </row>
    <row r="19" spans="1:9" s="37" customFormat="1" ht="15" customHeight="1" x14ac:dyDescent="0.2">
      <c r="A19" s="196">
        <v>14</v>
      </c>
      <c r="B19" s="324" t="s">
        <v>208</v>
      </c>
      <c r="C19" s="308">
        <f>NPA_PS_14!M19+NPA_NPS_15!K19</f>
        <v>6253</v>
      </c>
      <c r="D19" s="75">
        <f>NPA_PS_14!N19+NPA_NPS_15!L19</f>
        <v>35717.19</v>
      </c>
      <c r="E19" s="308">
        <f>'Pri Sec_outstanding_6'!O19+NPS_OS_8!U19</f>
        <v>35177</v>
      </c>
      <c r="F19" s="308">
        <f>'CD Ratio_3(i)'!F19</f>
        <v>207786</v>
      </c>
      <c r="G19" s="326">
        <f t="shared" si="0"/>
        <v>17.189411221160231</v>
      </c>
      <c r="H19" s="37">
        <f>NPA_PS_14!N19+NPA_NPS_15!L18</f>
        <v>27155.48</v>
      </c>
      <c r="I19" s="178">
        <f t="shared" si="1"/>
        <v>-8561.7100000000028</v>
      </c>
    </row>
    <row r="20" spans="1:9" s="37" customFormat="1" ht="15" customHeight="1" x14ac:dyDescent="0.2">
      <c r="A20" s="196">
        <v>15</v>
      </c>
      <c r="B20" s="168" t="s">
        <v>209</v>
      </c>
      <c r="C20" s="308">
        <f>NPA_PS_14!M20+NPA_NPS_15!K20</f>
        <v>5175</v>
      </c>
      <c r="D20" s="75">
        <f>NPA_PS_14!N20+NPA_NPS_15!L20</f>
        <v>3673.21</v>
      </c>
      <c r="E20" s="308">
        <f>'Pri Sec_outstanding_6'!O20+NPS_OS_8!U20</f>
        <v>15865</v>
      </c>
      <c r="F20" s="308">
        <f>'CD Ratio_3(i)'!F20</f>
        <v>65307</v>
      </c>
      <c r="G20" s="326">
        <f t="shared" si="0"/>
        <v>5.624527232915308</v>
      </c>
      <c r="H20" s="37">
        <f>NPA_PS_14!N20+NPA_NPS_15!L19</f>
        <v>28431.309999999998</v>
      </c>
      <c r="I20" s="178">
        <f t="shared" si="1"/>
        <v>24758.1</v>
      </c>
    </row>
    <row r="21" spans="1:9" s="37" customFormat="1" ht="15" customHeight="1" x14ac:dyDescent="0.2">
      <c r="A21" s="196">
        <v>16</v>
      </c>
      <c r="B21" s="168" t="s">
        <v>65</v>
      </c>
      <c r="C21" s="308">
        <f>NPA_PS_14!M21+NPA_NPS_15!K21</f>
        <v>11401</v>
      </c>
      <c r="D21" s="75">
        <f>NPA_PS_14!N21+NPA_NPS_15!L21</f>
        <v>104563</v>
      </c>
      <c r="E21" s="308">
        <f>'Pri Sec_outstanding_6'!O21+NPS_OS_8!U21</f>
        <v>320038</v>
      </c>
      <c r="F21" s="308">
        <f>'CD Ratio_3(i)'!F21</f>
        <v>1333561</v>
      </c>
      <c r="G21" s="326">
        <f t="shared" si="0"/>
        <v>7.8408861686866969</v>
      </c>
      <c r="H21" s="37">
        <f>NPA_PS_14!N21+NPA_NPS_15!L20</f>
        <v>71430</v>
      </c>
      <c r="I21" s="178">
        <f t="shared" si="1"/>
        <v>-33133</v>
      </c>
    </row>
    <row r="22" spans="1:9" s="37" customFormat="1" ht="15" customHeight="1" x14ac:dyDescent="0.2">
      <c r="A22" s="196">
        <v>17</v>
      </c>
      <c r="B22" s="324" t="s">
        <v>70</v>
      </c>
      <c r="C22" s="308">
        <f>NPA_PS_14!M22+NPA_NPS_15!K22</f>
        <v>71</v>
      </c>
      <c r="D22" s="75">
        <f>NPA_PS_14!N22+NPA_NPS_15!L22</f>
        <v>924.49</v>
      </c>
      <c r="E22" s="308">
        <f>'Pri Sec_outstanding_6'!O22+NPS_OS_8!U22</f>
        <v>1734</v>
      </c>
      <c r="F22" s="308">
        <f>'CD Ratio_3(i)'!F22</f>
        <v>34177</v>
      </c>
      <c r="G22" s="326">
        <f t="shared" si="0"/>
        <v>2.7050062907803492</v>
      </c>
      <c r="H22" s="37">
        <f>NPA_PS_14!N22+NPA_NPS_15!L21</f>
        <v>33458.449999999997</v>
      </c>
      <c r="I22" s="178">
        <f t="shared" si="1"/>
        <v>32533.959999999995</v>
      </c>
    </row>
    <row r="23" spans="1:9" s="37" customFormat="1" ht="15" customHeight="1" x14ac:dyDescent="0.2">
      <c r="A23" s="196">
        <v>18</v>
      </c>
      <c r="B23" s="108" t="s">
        <v>210</v>
      </c>
      <c r="C23" s="308">
        <f>NPA_PS_14!M23+NPA_NPS_15!K23</f>
        <v>0</v>
      </c>
      <c r="D23" s="75">
        <f>NPA_PS_14!N23+NPA_NPS_15!L23</f>
        <v>0</v>
      </c>
      <c r="E23" s="308">
        <f>'Pri Sec_outstanding_6'!O23+NPS_OS_8!U23</f>
        <v>233</v>
      </c>
      <c r="F23" s="308">
        <f>'CD Ratio_3(i)'!F23</f>
        <v>39596</v>
      </c>
      <c r="G23" s="326">
        <f t="shared" si="0"/>
        <v>0</v>
      </c>
      <c r="H23" s="37">
        <f>NPA_PS_14!N23+NPA_NPS_15!L22</f>
        <v>686.04</v>
      </c>
      <c r="I23" s="178">
        <f t="shared" si="1"/>
        <v>686.04</v>
      </c>
    </row>
    <row r="24" spans="1:9" s="37" customFormat="1" ht="15" customHeight="1" x14ac:dyDescent="0.2">
      <c r="A24" s="196">
        <v>19</v>
      </c>
      <c r="B24" s="325" t="s">
        <v>211</v>
      </c>
      <c r="C24" s="308">
        <f>NPA_PS_14!M24+NPA_NPS_15!K24</f>
        <v>159</v>
      </c>
      <c r="D24" s="75">
        <f>NPA_PS_14!N24+NPA_NPS_15!L24</f>
        <v>395.15000000000003</v>
      </c>
      <c r="E24" s="308">
        <f>'Pri Sec_outstanding_6'!O24+NPS_OS_8!U24</f>
        <v>1531</v>
      </c>
      <c r="F24" s="308">
        <f>'CD Ratio_3(i)'!F24</f>
        <v>106559</v>
      </c>
      <c r="G24" s="326">
        <f t="shared" si="0"/>
        <v>0.37082742893608234</v>
      </c>
      <c r="H24" s="37">
        <f>NPA_PS_14!N24+NPA_NPS_15!L23</f>
        <v>132.55000000000001</v>
      </c>
      <c r="I24" s="178">
        <f t="shared" si="1"/>
        <v>-262.60000000000002</v>
      </c>
    </row>
    <row r="25" spans="1:9" s="37" customFormat="1" ht="15" customHeight="1" x14ac:dyDescent="0.2">
      <c r="A25" s="196">
        <v>20</v>
      </c>
      <c r="B25" s="168" t="s">
        <v>212</v>
      </c>
      <c r="C25" s="308">
        <f>NPA_PS_14!M25+NPA_NPS_15!K25</f>
        <v>21</v>
      </c>
      <c r="D25" s="75">
        <f>NPA_PS_14!N25+NPA_NPS_15!L25</f>
        <v>2661</v>
      </c>
      <c r="E25" s="308">
        <f>'Pri Sec_outstanding_6'!O25+NPS_OS_8!U25</f>
        <v>2129</v>
      </c>
      <c r="F25" s="308">
        <f>'CD Ratio_3(i)'!F25</f>
        <v>46163</v>
      </c>
      <c r="G25" s="326">
        <f t="shared" si="0"/>
        <v>5.7643567359140437</v>
      </c>
      <c r="H25" s="37">
        <f>NPA_PS_14!N25+NPA_NPS_15!L24</f>
        <v>2923.6</v>
      </c>
      <c r="I25" s="178">
        <f t="shared" si="1"/>
        <v>262.59999999999991</v>
      </c>
    </row>
    <row r="26" spans="1:9" s="37" customFormat="1" ht="15" customHeight="1" x14ac:dyDescent="0.2">
      <c r="A26" s="196">
        <v>21</v>
      </c>
      <c r="B26" s="168" t="s">
        <v>213</v>
      </c>
      <c r="C26" s="308">
        <f>NPA_PS_14!M26+NPA_NPS_15!K26</f>
        <v>0</v>
      </c>
      <c r="D26" s="75">
        <f>NPA_PS_14!N26+NPA_NPS_15!L26</f>
        <v>0</v>
      </c>
      <c r="E26" s="308">
        <f>'Pri Sec_outstanding_6'!O26+NPS_OS_8!U26</f>
        <v>0</v>
      </c>
      <c r="F26" s="308">
        <f>'CD Ratio_3(i)'!F26</f>
        <v>79593</v>
      </c>
      <c r="G26" s="326">
        <f t="shared" si="0"/>
        <v>0</v>
      </c>
      <c r="H26" s="37">
        <f>NPA_PS_14!N26+NPA_NPS_15!L25</f>
        <v>0</v>
      </c>
      <c r="I26" s="178">
        <f t="shared" si="1"/>
        <v>0</v>
      </c>
    </row>
    <row r="27" spans="1:9" s="37" customFormat="1" ht="15" customHeight="1" x14ac:dyDescent="0.2">
      <c r="A27" s="196">
        <v>22</v>
      </c>
      <c r="B27" s="168" t="s">
        <v>71</v>
      </c>
      <c r="C27" s="308">
        <f>NPA_PS_14!M27+NPA_NPS_15!K27</f>
        <v>123767</v>
      </c>
      <c r="D27" s="75">
        <f>NPA_PS_14!N27+NPA_NPS_15!L27</f>
        <v>119490</v>
      </c>
      <c r="E27" s="308">
        <f>'Pri Sec_outstanding_6'!O27+NPS_OS_8!U27</f>
        <v>1128577</v>
      </c>
      <c r="F27" s="308">
        <f>'CD Ratio_3(i)'!F27</f>
        <v>5827944</v>
      </c>
      <c r="G27" s="326">
        <f t="shared" si="0"/>
        <v>2.0502942375561606</v>
      </c>
      <c r="H27" s="37">
        <f>NPA_PS_14!N27+NPA_NPS_15!L26</f>
        <v>114763</v>
      </c>
      <c r="I27" s="178">
        <f t="shared" si="1"/>
        <v>-4727</v>
      </c>
    </row>
    <row r="28" spans="1:9" s="37" customFormat="1" ht="15" customHeight="1" x14ac:dyDescent="0.2">
      <c r="A28" s="196">
        <v>23</v>
      </c>
      <c r="B28" s="168" t="s">
        <v>66</v>
      </c>
      <c r="C28" s="308">
        <f>NPA_PS_14!M28+NPA_NPS_15!K28</f>
        <v>10541</v>
      </c>
      <c r="D28" s="75">
        <f>NPA_PS_14!N28+NPA_NPS_15!L28</f>
        <v>20497</v>
      </c>
      <c r="E28" s="308">
        <f>'Pri Sec_outstanding_6'!O28+NPS_OS_8!U28</f>
        <v>54160</v>
      </c>
      <c r="F28" s="308">
        <f>'CD Ratio_3(i)'!F28</f>
        <v>147699.48000000001</v>
      </c>
      <c r="G28" s="326">
        <f t="shared" si="0"/>
        <v>13.877503157086267</v>
      </c>
      <c r="H28" s="37">
        <f>NPA_PS_14!N28+NPA_NPS_15!L27</f>
        <v>12915</v>
      </c>
      <c r="I28" s="178">
        <f t="shared" si="1"/>
        <v>-7582</v>
      </c>
    </row>
    <row r="29" spans="1:9" s="37" customFormat="1" ht="15" customHeight="1" x14ac:dyDescent="0.2">
      <c r="A29" s="196">
        <v>24</v>
      </c>
      <c r="B29" s="168" t="s">
        <v>214</v>
      </c>
      <c r="C29" s="308">
        <f>NPA_PS_14!M29+NPA_NPS_15!K29</f>
        <v>15424</v>
      </c>
      <c r="D29" s="75">
        <f>NPA_PS_14!N29+NPA_NPS_15!L29</f>
        <v>72819.03</v>
      </c>
      <c r="E29" s="308">
        <f>'Pri Sec_outstanding_6'!O29+NPS_OS_8!U29</f>
        <v>144431</v>
      </c>
      <c r="F29" s="308">
        <f>'CD Ratio_3(i)'!F29</f>
        <v>442137.96</v>
      </c>
      <c r="G29" s="326">
        <f t="shared" si="0"/>
        <v>16.469753015551976</v>
      </c>
      <c r="H29" s="37">
        <f>NPA_PS_14!N29+NPA_NPS_15!L28</f>
        <v>73326.040000000008</v>
      </c>
      <c r="I29" s="178">
        <f t="shared" si="1"/>
        <v>507.01000000000931</v>
      </c>
    </row>
    <row r="30" spans="1:9" s="37" customFormat="1" ht="15" customHeight="1" x14ac:dyDescent="0.2">
      <c r="A30" s="196">
        <v>25</v>
      </c>
      <c r="B30" s="168" t="s">
        <v>67</v>
      </c>
      <c r="C30" s="308">
        <f>NPA_PS_14!M30+NPA_NPS_15!K30</f>
        <v>51659</v>
      </c>
      <c r="D30" s="75">
        <f>NPA_PS_14!N30+NPA_NPS_15!L30</f>
        <v>67928</v>
      </c>
      <c r="E30" s="308">
        <f>'Pri Sec_outstanding_6'!O30+NPS_OS_8!U30</f>
        <v>224737</v>
      </c>
      <c r="F30" s="308">
        <f>'CD Ratio_3(i)'!F30</f>
        <v>842977.7</v>
      </c>
      <c r="G30" s="326">
        <f t="shared" si="0"/>
        <v>8.0581016555953973</v>
      </c>
      <c r="H30" s="37">
        <f>NPA_PS_14!N30+NPA_NPS_15!L29</f>
        <v>62118.879999999997</v>
      </c>
      <c r="I30" s="178">
        <f t="shared" si="1"/>
        <v>-5809.1200000000026</v>
      </c>
    </row>
    <row r="31" spans="1:9" s="37" customFormat="1" ht="15" customHeight="1" x14ac:dyDescent="0.2">
      <c r="A31" s="196">
        <v>26</v>
      </c>
      <c r="B31" s="323" t="s">
        <v>68</v>
      </c>
      <c r="C31" s="308">
        <f>NPA_PS_14!M31+NPA_NPS_15!K31</f>
        <v>193</v>
      </c>
      <c r="D31" s="75">
        <f>NPA_PS_14!N31+NPA_NPS_15!L31</f>
        <v>8386</v>
      </c>
      <c r="E31" s="308">
        <f>'Pri Sec_outstanding_6'!O31+NPS_OS_8!U31</f>
        <v>2303</v>
      </c>
      <c r="F31" s="308">
        <f>'CD Ratio_3(i)'!F31</f>
        <v>25944</v>
      </c>
      <c r="G31" s="326">
        <f t="shared" si="0"/>
        <v>32.323465926611163</v>
      </c>
      <c r="H31" s="37">
        <f>NPA_PS_14!N31+NPA_NPS_15!L30</f>
        <v>18604.11</v>
      </c>
      <c r="I31" s="178">
        <f t="shared" si="1"/>
        <v>10218.11</v>
      </c>
    </row>
    <row r="32" spans="1:9" s="37" customFormat="1" ht="15" customHeight="1" x14ac:dyDescent="0.2">
      <c r="A32" s="196">
        <v>27</v>
      </c>
      <c r="B32" s="168" t="s">
        <v>51</v>
      </c>
      <c r="C32" s="308">
        <f>NPA_PS_14!M32+NPA_NPS_15!K32</f>
        <v>1205</v>
      </c>
      <c r="D32" s="75">
        <f>NPA_PS_14!N32+NPA_NPS_15!L32</f>
        <v>3023</v>
      </c>
      <c r="E32" s="308">
        <f>'Pri Sec_outstanding_6'!O32+NPS_OS_8!U32</f>
        <v>28645</v>
      </c>
      <c r="F32" s="308">
        <f>'CD Ratio_3(i)'!F32</f>
        <v>77777</v>
      </c>
      <c r="G32" s="326">
        <f t="shared" si="0"/>
        <v>3.8867531532458184</v>
      </c>
      <c r="H32" s="37">
        <f>NPA_PS_14!N32+NPA_NPS_15!L31</f>
        <v>9348</v>
      </c>
      <c r="I32" s="178">
        <f t="shared" si="1"/>
        <v>6325</v>
      </c>
    </row>
    <row r="33" spans="1:15" s="43" customFormat="1" ht="15" customHeight="1" x14ac:dyDescent="0.2">
      <c r="A33" s="288"/>
      <c r="B33" s="171" t="s">
        <v>407</v>
      </c>
      <c r="C33" s="310">
        <f>NPA_PS_14!M33+NPA_NPS_15!K33</f>
        <v>410116</v>
      </c>
      <c r="D33" s="311">
        <f>NPA_PS_14!N33+NPA_NPS_15!L33</f>
        <v>927211.02</v>
      </c>
      <c r="E33" s="310">
        <f>'Pri Sec_outstanding_6'!O33+NPS_OS_8!U33</f>
        <v>3763904</v>
      </c>
      <c r="F33" s="310">
        <f>'CD Ratio_3(i)'!F33</f>
        <v>15387974.490000002</v>
      </c>
      <c r="G33" s="327">
        <f t="shared" si="0"/>
        <v>6.0255559989559089</v>
      </c>
      <c r="H33" s="43">
        <f>NPA_PS_14!N33+NPA_NPS_15!L32</f>
        <v>644743.59000000008</v>
      </c>
      <c r="I33" s="329">
        <f t="shared" si="1"/>
        <v>-282467.42999999993</v>
      </c>
      <c r="J33" s="329"/>
      <c r="K33" s="178"/>
      <c r="L33" s="329"/>
      <c r="M33" s="329"/>
      <c r="N33" s="329"/>
      <c r="O33" s="329"/>
    </row>
    <row r="34" spans="1:15" ht="15" customHeight="1" x14ac:dyDescent="0.2">
      <c r="A34" s="196">
        <v>28</v>
      </c>
      <c r="B34" s="168" t="s">
        <v>48</v>
      </c>
      <c r="C34" s="308">
        <f>NPA_PS_14!M34+NPA_NPS_15!K34</f>
        <v>2437</v>
      </c>
      <c r="D34" s="75">
        <f>NPA_PS_14!N34+NPA_NPS_15!L34</f>
        <v>6098.16</v>
      </c>
      <c r="E34" s="308">
        <f>'Pri Sec_outstanding_6'!O34+NPS_OS_8!U34</f>
        <v>185490</v>
      </c>
      <c r="F34" s="308">
        <f>'CD Ratio_3(i)'!F34</f>
        <v>592252.67000000004</v>
      </c>
      <c r="G34" s="326">
        <f t="shared" si="0"/>
        <v>1.0296551301322119</v>
      </c>
      <c r="H34" s="37">
        <f>NPA_PS_14!N34+NPA_NPS_15!L33</f>
        <v>286630.42</v>
      </c>
      <c r="I34" s="178">
        <f t="shared" si="1"/>
        <v>280532.26</v>
      </c>
    </row>
    <row r="35" spans="1:15" ht="15" customHeight="1" x14ac:dyDescent="0.2">
      <c r="A35" s="196">
        <v>29</v>
      </c>
      <c r="B35" s="168" t="s">
        <v>216</v>
      </c>
      <c r="C35" s="308">
        <f>NPA_PS_14!M35+NPA_NPS_15!K35</f>
        <v>0</v>
      </c>
      <c r="D35" s="75">
        <f>NPA_PS_14!N35+NPA_NPS_15!L35</f>
        <v>0</v>
      </c>
      <c r="E35" s="308">
        <f>'Pri Sec_outstanding_6'!O35+NPS_OS_8!U35</f>
        <v>115287</v>
      </c>
      <c r="F35" s="308">
        <f>'CD Ratio_3(i)'!F35</f>
        <v>50352</v>
      </c>
      <c r="G35" s="326">
        <f t="shared" si="0"/>
        <v>0</v>
      </c>
      <c r="H35" s="37">
        <f>NPA_PS_14!N35+NPA_NPS_15!L34</f>
        <v>3003.17</v>
      </c>
      <c r="I35" s="178">
        <f t="shared" si="1"/>
        <v>3003.17</v>
      </c>
    </row>
    <row r="36" spans="1:15" ht="15" customHeight="1" x14ac:dyDescent="0.2">
      <c r="A36" s="196">
        <v>30</v>
      </c>
      <c r="B36" s="168" t="s">
        <v>217</v>
      </c>
      <c r="C36" s="308">
        <f>NPA_PS_14!M36+NPA_NPS_15!K36</f>
        <v>0</v>
      </c>
      <c r="D36" s="75">
        <f>NPA_PS_14!N36+NPA_NPS_15!L36</f>
        <v>0</v>
      </c>
      <c r="E36" s="308">
        <f>'Pri Sec_outstanding_6'!O36+NPS_OS_8!U36</f>
        <v>0</v>
      </c>
      <c r="F36" s="308">
        <f>'CD Ratio_3(i)'!F36</f>
        <v>703</v>
      </c>
      <c r="G36" s="326">
        <f t="shared" si="0"/>
        <v>0</v>
      </c>
      <c r="H36" s="37">
        <f>NPA_PS_14!N36+NPA_NPS_15!L35</f>
        <v>0</v>
      </c>
      <c r="I36" s="178">
        <f t="shared" si="1"/>
        <v>0</v>
      </c>
    </row>
    <row r="37" spans="1:15" ht="15" customHeight="1" x14ac:dyDescent="0.2">
      <c r="A37" s="196">
        <v>31</v>
      </c>
      <c r="B37" s="168" t="s">
        <v>79</v>
      </c>
      <c r="C37" s="308">
        <f>NPA_PS_14!M37+NPA_NPS_15!K37</f>
        <v>0</v>
      </c>
      <c r="D37" s="75">
        <f>NPA_PS_14!N37+NPA_NPS_15!L37</f>
        <v>0</v>
      </c>
      <c r="E37" s="308">
        <f>'Pri Sec_outstanding_6'!O37+NPS_OS_8!U37</f>
        <v>0</v>
      </c>
      <c r="F37" s="308">
        <f>'CD Ratio_3(i)'!F37</f>
        <v>34909</v>
      </c>
      <c r="G37" s="326">
        <f t="shared" si="0"/>
        <v>0</v>
      </c>
      <c r="H37" s="37">
        <f>NPA_PS_14!N37+NPA_NPS_15!L36</f>
        <v>0</v>
      </c>
      <c r="I37" s="178">
        <f t="shared" si="1"/>
        <v>0</v>
      </c>
    </row>
    <row r="38" spans="1:15" ht="15" customHeight="1" x14ac:dyDescent="0.2">
      <c r="A38" s="196">
        <v>32</v>
      </c>
      <c r="B38" s="168" t="s">
        <v>52</v>
      </c>
      <c r="C38" s="308">
        <f>NPA_PS_14!M38+NPA_NPS_15!K38</f>
        <v>0</v>
      </c>
      <c r="D38" s="75">
        <f>NPA_PS_14!N38+NPA_NPS_15!L38</f>
        <v>0</v>
      </c>
      <c r="E38" s="308">
        <f>'Pri Sec_outstanding_6'!O38+NPS_OS_8!U38</f>
        <v>322</v>
      </c>
      <c r="F38" s="308">
        <f>'CD Ratio_3(i)'!F38</f>
        <v>8636.6299999999992</v>
      </c>
      <c r="G38" s="326">
        <f t="shared" si="0"/>
        <v>0</v>
      </c>
      <c r="H38" s="37">
        <f>NPA_PS_14!N38+NPA_NPS_15!L37</f>
        <v>0</v>
      </c>
      <c r="I38" s="178">
        <f t="shared" si="1"/>
        <v>0</v>
      </c>
    </row>
    <row r="39" spans="1:15" ht="15" customHeight="1" x14ac:dyDescent="0.2">
      <c r="A39" s="196">
        <v>33</v>
      </c>
      <c r="B39" s="168" t="s">
        <v>218</v>
      </c>
      <c r="C39" s="308">
        <f>NPA_PS_14!M39+NPA_NPS_15!K39</f>
        <v>0</v>
      </c>
      <c r="D39" s="75">
        <f>NPA_PS_14!N39+NPA_NPS_15!L39</f>
        <v>0</v>
      </c>
      <c r="E39" s="308">
        <f>'Pri Sec_outstanding_6'!O39+NPS_OS_8!U39</f>
        <v>0</v>
      </c>
      <c r="F39" s="308">
        <f>'CD Ratio_3(i)'!F39</f>
        <v>44795</v>
      </c>
      <c r="G39" s="326">
        <f t="shared" si="0"/>
        <v>0</v>
      </c>
      <c r="H39" s="37">
        <f>NPA_PS_14!N39+NPA_NPS_15!L38</f>
        <v>0</v>
      </c>
      <c r="I39" s="178">
        <f t="shared" si="1"/>
        <v>0</v>
      </c>
    </row>
    <row r="40" spans="1:15" ht="15" customHeight="1" x14ac:dyDescent="0.2">
      <c r="A40" s="196">
        <v>34</v>
      </c>
      <c r="B40" s="168" t="s">
        <v>219</v>
      </c>
      <c r="C40" s="308">
        <f>NPA_PS_14!M40+NPA_NPS_15!K40</f>
        <v>0</v>
      </c>
      <c r="D40" s="75">
        <f>NPA_PS_14!N40+NPA_NPS_15!L40</f>
        <v>0</v>
      </c>
      <c r="E40" s="308">
        <f>'Pri Sec_outstanding_6'!O40+NPS_OS_8!U40</f>
        <v>28</v>
      </c>
      <c r="F40" s="308">
        <f>'CD Ratio_3(i)'!F40</f>
        <v>27.89</v>
      </c>
      <c r="G40" s="326">
        <f t="shared" si="0"/>
        <v>0</v>
      </c>
      <c r="H40" s="37">
        <f>NPA_PS_14!N40+NPA_NPS_15!L39</f>
        <v>0</v>
      </c>
      <c r="I40" s="178">
        <f t="shared" si="1"/>
        <v>0</v>
      </c>
    </row>
    <row r="41" spans="1:15" ht="15" customHeight="1" x14ac:dyDescent="0.2">
      <c r="A41" s="196">
        <v>35</v>
      </c>
      <c r="B41" s="168" t="s">
        <v>220</v>
      </c>
      <c r="C41" s="308">
        <f>NPA_PS_14!M41+NPA_NPS_15!K41</f>
        <v>28</v>
      </c>
      <c r="D41" s="75">
        <f>NPA_PS_14!N41+NPA_NPS_15!L41</f>
        <v>1170.77</v>
      </c>
      <c r="E41" s="308">
        <f>'Pri Sec_outstanding_6'!O41+NPS_OS_8!U41</f>
        <v>5379</v>
      </c>
      <c r="F41" s="308">
        <f>'CD Ratio_3(i)'!F41</f>
        <v>16270.29</v>
      </c>
      <c r="G41" s="326">
        <f t="shared" si="0"/>
        <v>7.1957537327238787</v>
      </c>
      <c r="H41" s="37">
        <f>NPA_PS_14!N41+NPA_NPS_15!L40</f>
        <v>45.49</v>
      </c>
      <c r="I41" s="178">
        <f t="shared" si="1"/>
        <v>-1125.28</v>
      </c>
    </row>
    <row r="42" spans="1:15" ht="15" customHeight="1" x14ac:dyDescent="0.2">
      <c r="A42" s="196">
        <v>36</v>
      </c>
      <c r="B42" s="168" t="s">
        <v>72</v>
      </c>
      <c r="C42" s="308">
        <f>NPA_PS_14!M42+NPA_NPS_15!K42</f>
        <v>10050</v>
      </c>
      <c r="D42" s="75">
        <f>NPA_PS_14!N42+NPA_NPS_15!L42</f>
        <v>22010.79</v>
      </c>
      <c r="E42" s="308">
        <f>'Pri Sec_outstanding_6'!O42+NPS_OS_8!U42</f>
        <v>326197</v>
      </c>
      <c r="F42" s="308">
        <f>'CD Ratio_3(i)'!F42</f>
        <v>1161111</v>
      </c>
      <c r="G42" s="326">
        <f t="shared" si="0"/>
        <v>1.8956663058053882</v>
      </c>
      <c r="H42" s="37">
        <f>NPA_PS_14!N42+NPA_NPS_15!L41</f>
        <v>14523.13</v>
      </c>
      <c r="I42" s="178">
        <f t="shared" si="1"/>
        <v>-7487.6600000000017</v>
      </c>
    </row>
    <row r="43" spans="1:15" ht="15" customHeight="1" x14ac:dyDescent="0.2">
      <c r="A43" s="196">
        <v>37</v>
      </c>
      <c r="B43" s="168" t="s">
        <v>73</v>
      </c>
      <c r="C43" s="308">
        <f>NPA_PS_14!M43+NPA_NPS_15!K43</f>
        <v>8429</v>
      </c>
      <c r="D43" s="75">
        <f>NPA_PS_14!N43+NPA_NPS_15!L43</f>
        <v>14867</v>
      </c>
      <c r="E43" s="308">
        <f>'Pri Sec_outstanding_6'!O43+NPS_OS_8!U43</f>
        <v>199500</v>
      </c>
      <c r="F43" s="308">
        <f>'CD Ratio_3(i)'!F43</f>
        <v>1041147.98</v>
      </c>
      <c r="G43" s="326">
        <f t="shared" si="0"/>
        <v>1.427943028809411</v>
      </c>
      <c r="H43" s="37">
        <f>NPA_PS_14!N43+NPA_NPS_15!L42</f>
        <v>18259.940000000002</v>
      </c>
      <c r="I43" s="178">
        <f t="shared" si="1"/>
        <v>3392.9400000000023</v>
      </c>
    </row>
    <row r="44" spans="1:15" ht="15" customHeight="1" x14ac:dyDescent="0.2">
      <c r="A44" s="196">
        <v>38</v>
      </c>
      <c r="B44" s="168" t="s">
        <v>221</v>
      </c>
      <c r="C44" s="308">
        <f>NPA_PS_14!M44+NPA_NPS_15!K44</f>
        <v>0</v>
      </c>
      <c r="D44" s="75">
        <f>NPA_PS_14!N44+NPA_NPS_15!L44</f>
        <v>0</v>
      </c>
      <c r="E44" s="308">
        <f>'Pri Sec_outstanding_6'!O44+NPS_OS_8!U44</f>
        <v>0</v>
      </c>
      <c r="F44" s="308">
        <f>'CD Ratio_3(i)'!F44</f>
        <v>8798</v>
      </c>
      <c r="G44" s="326">
        <f t="shared" si="0"/>
        <v>0</v>
      </c>
      <c r="H44" s="37">
        <f>NPA_PS_14!N44+NPA_NPS_15!L43</f>
        <v>5220</v>
      </c>
      <c r="I44" s="178">
        <f t="shared" si="1"/>
        <v>5220</v>
      </c>
    </row>
    <row r="45" spans="1:15" ht="15" customHeight="1" x14ac:dyDescent="0.2">
      <c r="A45" s="196">
        <v>39</v>
      </c>
      <c r="B45" s="168" t="s">
        <v>222</v>
      </c>
      <c r="C45" s="308">
        <f>NPA_PS_14!M45+NPA_NPS_15!K45</f>
        <v>5935</v>
      </c>
      <c r="D45" s="75">
        <f>NPA_PS_14!N45+NPA_NPS_15!L45</f>
        <v>2139</v>
      </c>
      <c r="E45" s="308">
        <f>'Pri Sec_outstanding_6'!O45+NPS_OS_8!U45</f>
        <v>0</v>
      </c>
      <c r="F45" s="308">
        <f>'CD Ratio_3(i)'!F45</f>
        <v>248825</v>
      </c>
      <c r="G45" s="326">
        <f t="shared" si="0"/>
        <v>0.85964030945443581</v>
      </c>
      <c r="H45" s="37">
        <f>NPA_PS_14!N45+NPA_NPS_15!L44</f>
        <v>1538</v>
      </c>
      <c r="I45" s="178">
        <f t="shared" si="1"/>
        <v>-601</v>
      </c>
    </row>
    <row r="46" spans="1:15" ht="15" customHeight="1" x14ac:dyDescent="0.2">
      <c r="A46" s="196">
        <v>40</v>
      </c>
      <c r="B46" s="168" t="s">
        <v>223</v>
      </c>
      <c r="C46" s="308">
        <f>NPA_PS_14!M46+NPA_NPS_15!K46</f>
        <v>0</v>
      </c>
      <c r="D46" s="75">
        <f>NPA_PS_14!N46+NPA_NPS_15!L46</f>
        <v>0</v>
      </c>
      <c r="E46" s="308">
        <f>'Pri Sec_outstanding_6'!O46+NPS_OS_8!U46</f>
        <v>235</v>
      </c>
      <c r="F46" s="308">
        <f>'CD Ratio_3(i)'!F46</f>
        <v>3536</v>
      </c>
      <c r="G46" s="326">
        <f t="shared" si="0"/>
        <v>0</v>
      </c>
      <c r="H46" s="37">
        <f>NPA_PS_14!N46+NPA_NPS_15!L45</f>
        <v>601</v>
      </c>
      <c r="I46" s="178">
        <f t="shared" si="1"/>
        <v>601</v>
      </c>
    </row>
    <row r="47" spans="1:15" ht="15" customHeight="1" x14ac:dyDescent="0.2">
      <c r="A47" s="196">
        <v>41</v>
      </c>
      <c r="B47" s="168" t="s">
        <v>224</v>
      </c>
      <c r="C47" s="308">
        <f>NPA_PS_14!M47+NPA_NPS_15!K47</f>
        <v>31</v>
      </c>
      <c r="D47" s="75">
        <f>NPA_PS_14!N47+NPA_NPS_15!L47</f>
        <v>1033.99</v>
      </c>
      <c r="E47" s="308">
        <f>'Pri Sec_outstanding_6'!O47+NPS_OS_8!U47</f>
        <v>1294</v>
      </c>
      <c r="F47" s="308">
        <f>'CD Ratio_3(i)'!F47</f>
        <v>33428</v>
      </c>
      <c r="G47" s="326">
        <f t="shared" si="0"/>
        <v>3.0931853535957878</v>
      </c>
      <c r="H47" s="37">
        <f>NPA_PS_14!N47+NPA_NPS_15!L46</f>
        <v>662</v>
      </c>
      <c r="I47" s="178">
        <f t="shared" si="1"/>
        <v>-371.99</v>
      </c>
    </row>
    <row r="48" spans="1:15" ht="15" customHeight="1" x14ac:dyDescent="0.2">
      <c r="A48" s="196">
        <v>42</v>
      </c>
      <c r="B48" s="168" t="s">
        <v>225</v>
      </c>
      <c r="C48" s="308">
        <f>NPA_PS_14!M48+NPA_NPS_15!K48</f>
        <v>0</v>
      </c>
      <c r="D48" s="75">
        <f>NPA_PS_14!N48+NPA_NPS_15!L48</f>
        <v>0</v>
      </c>
      <c r="E48" s="308">
        <f>'Pri Sec_outstanding_6'!O48+NPS_OS_8!U48</f>
        <v>0</v>
      </c>
      <c r="F48" s="308">
        <f>'CD Ratio_3(i)'!F48</f>
        <v>20588</v>
      </c>
      <c r="G48" s="326">
        <f t="shared" si="0"/>
        <v>0</v>
      </c>
      <c r="H48" s="37">
        <f>NPA_PS_14!N48+NPA_NPS_15!L47</f>
        <v>371.99</v>
      </c>
      <c r="I48" s="178">
        <f t="shared" si="1"/>
        <v>371.99</v>
      </c>
    </row>
    <row r="49" spans="1:15" ht="15" customHeight="1" x14ac:dyDescent="0.2">
      <c r="A49" s="196">
        <v>43</v>
      </c>
      <c r="B49" s="168" t="s">
        <v>74</v>
      </c>
      <c r="C49" s="308">
        <f>NPA_PS_14!M49+NPA_NPS_15!K49</f>
        <v>1338</v>
      </c>
      <c r="D49" s="75">
        <f>NPA_PS_14!N49+NPA_NPS_15!L49</f>
        <v>4099</v>
      </c>
      <c r="E49" s="308">
        <f>'Pri Sec_outstanding_6'!O49+NPS_OS_8!U49</f>
        <v>37069</v>
      </c>
      <c r="F49" s="308">
        <f>'CD Ratio_3(i)'!F49</f>
        <v>203987</v>
      </c>
      <c r="G49" s="326">
        <f t="shared" si="0"/>
        <v>2.0094417781525293</v>
      </c>
      <c r="H49" s="37">
        <f>NPA_PS_14!N49+NPA_NPS_15!L48</f>
        <v>4022</v>
      </c>
      <c r="I49" s="178">
        <f t="shared" si="1"/>
        <v>-77</v>
      </c>
    </row>
    <row r="50" spans="1:15" ht="15" customHeight="1" x14ac:dyDescent="0.2">
      <c r="A50" s="196">
        <v>44</v>
      </c>
      <c r="B50" s="168" t="s">
        <v>226</v>
      </c>
      <c r="C50" s="308">
        <f>NPA_PS_14!M50+NPA_NPS_15!K50</f>
        <v>7</v>
      </c>
      <c r="D50" s="75">
        <f>NPA_PS_14!N50+NPA_NPS_15!L50</f>
        <v>24.62</v>
      </c>
      <c r="E50" s="308">
        <f>'Pri Sec_outstanding_6'!O50+NPS_OS_8!U50</f>
        <v>72</v>
      </c>
      <c r="F50" s="308">
        <f>'CD Ratio_3(i)'!F50</f>
        <v>4230</v>
      </c>
      <c r="G50" s="326">
        <f t="shared" si="0"/>
        <v>0.5820330969267139</v>
      </c>
      <c r="H50" s="37">
        <f>NPA_PS_14!N50+NPA_NPS_15!L49</f>
        <v>101.62</v>
      </c>
      <c r="I50" s="178">
        <f t="shared" si="1"/>
        <v>77</v>
      </c>
    </row>
    <row r="51" spans="1:15" ht="15" customHeight="1" x14ac:dyDescent="0.2">
      <c r="A51" s="196">
        <v>45</v>
      </c>
      <c r="B51" s="168" t="s">
        <v>227</v>
      </c>
      <c r="C51" s="308">
        <f>NPA_PS_14!M51+NPA_NPS_15!K51</f>
        <v>1463</v>
      </c>
      <c r="D51" s="75">
        <f>NPA_PS_14!N51+NPA_NPS_15!L51</f>
        <v>222.9</v>
      </c>
      <c r="E51" s="308">
        <f>'Pri Sec_outstanding_6'!O51+NPS_OS_8!U51</f>
        <v>169820</v>
      </c>
      <c r="F51" s="308">
        <f>'CD Ratio_3(i)'!F51</f>
        <v>82076</v>
      </c>
      <c r="G51" s="326">
        <f t="shared" si="0"/>
        <v>0.27157756225936935</v>
      </c>
      <c r="H51" s="37">
        <f>NPA_PS_14!N51+NPA_NPS_15!L50</f>
        <v>222.9</v>
      </c>
      <c r="I51" s="178">
        <f t="shared" si="1"/>
        <v>0</v>
      </c>
    </row>
    <row r="52" spans="1:15" ht="15" customHeight="1" x14ac:dyDescent="0.2">
      <c r="A52" s="196">
        <v>46</v>
      </c>
      <c r="B52" s="168" t="s">
        <v>228</v>
      </c>
      <c r="C52" s="308">
        <f>NPA_PS_14!M52+NPA_NPS_15!K52</f>
        <v>0</v>
      </c>
      <c r="D52" s="75">
        <f>NPA_PS_14!N52+NPA_NPS_15!L52</f>
        <v>0</v>
      </c>
      <c r="E52" s="308">
        <f>'Pri Sec_outstanding_6'!O52+NPS_OS_8!U52</f>
        <v>167</v>
      </c>
      <c r="F52" s="308">
        <f>'CD Ratio_3(i)'!F52</f>
        <v>4837.21</v>
      </c>
      <c r="G52" s="326">
        <f t="shared" si="0"/>
        <v>0</v>
      </c>
      <c r="H52" s="37">
        <f>NPA_PS_14!N52+NPA_NPS_15!L51</f>
        <v>0</v>
      </c>
      <c r="I52" s="178">
        <f t="shared" si="1"/>
        <v>0</v>
      </c>
    </row>
    <row r="53" spans="1:15" ht="15" customHeight="1" x14ac:dyDescent="0.2">
      <c r="A53" s="196">
        <v>47</v>
      </c>
      <c r="B53" s="168" t="s">
        <v>78</v>
      </c>
      <c r="C53" s="308">
        <f>NPA_PS_14!M53+NPA_NPS_15!K53</f>
        <v>0</v>
      </c>
      <c r="D53" s="75">
        <f>NPA_PS_14!N53+NPA_NPS_15!L53</f>
        <v>0</v>
      </c>
      <c r="E53" s="308">
        <f>'Pri Sec_outstanding_6'!O53+NPS_OS_8!U53</f>
        <v>0</v>
      </c>
      <c r="F53" s="308">
        <f>'CD Ratio_3(i)'!F53</f>
        <v>5051</v>
      </c>
      <c r="G53" s="326">
        <f t="shared" si="0"/>
        <v>0</v>
      </c>
      <c r="H53" s="37">
        <f>NPA_PS_14!N53+NPA_NPS_15!L52</f>
        <v>0</v>
      </c>
      <c r="I53" s="178">
        <f t="shared" si="1"/>
        <v>0</v>
      </c>
    </row>
    <row r="54" spans="1:15" ht="15" customHeight="1" x14ac:dyDescent="0.2">
      <c r="A54" s="196">
        <v>48</v>
      </c>
      <c r="B54" s="168" t="s">
        <v>229</v>
      </c>
      <c r="C54" s="308">
        <f>NPA_PS_14!M54+NPA_NPS_15!K54</f>
        <v>0</v>
      </c>
      <c r="D54" s="75">
        <f>NPA_PS_14!N54+NPA_NPS_15!L54</f>
        <v>0</v>
      </c>
      <c r="E54" s="308">
        <f>'Pri Sec_outstanding_6'!O54+NPS_OS_8!U54</f>
        <v>0</v>
      </c>
      <c r="F54" s="308">
        <f>'CD Ratio_3(i)'!F54</f>
        <v>5004</v>
      </c>
      <c r="G54" s="326">
        <f t="shared" si="0"/>
        <v>0</v>
      </c>
      <c r="H54" s="37">
        <f>NPA_PS_14!N54+NPA_NPS_15!L53</f>
        <v>0</v>
      </c>
      <c r="I54" s="178">
        <f t="shared" si="1"/>
        <v>0</v>
      </c>
    </row>
    <row r="55" spans="1:15" ht="15" customHeight="1" x14ac:dyDescent="0.2">
      <c r="A55" s="196">
        <v>49</v>
      </c>
      <c r="B55" s="168" t="s">
        <v>77</v>
      </c>
      <c r="C55" s="308">
        <f>NPA_PS_14!M55+NPA_NPS_15!K55</f>
        <v>11</v>
      </c>
      <c r="D55" s="75">
        <f>NPA_PS_14!N55+NPA_NPS_15!L55</f>
        <v>348.65</v>
      </c>
      <c r="E55" s="308">
        <f>'Pri Sec_outstanding_6'!O55+NPS_OS_8!U55</f>
        <v>18299</v>
      </c>
      <c r="F55" s="308">
        <f>'CD Ratio_3(i)'!F55</f>
        <v>78933</v>
      </c>
      <c r="G55" s="326">
        <f t="shared" si="0"/>
        <v>0.44170372341099412</v>
      </c>
      <c r="H55" s="37">
        <f>NPA_PS_14!N55+NPA_NPS_15!L54</f>
        <v>348.65</v>
      </c>
      <c r="I55" s="178">
        <f t="shared" si="1"/>
        <v>0</v>
      </c>
    </row>
    <row r="56" spans="1:15" s="43" customFormat="1" ht="15" customHeight="1" x14ac:dyDescent="0.2">
      <c r="A56" s="171"/>
      <c r="B56" s="171" t="s">
        <v>408</v>
      </c>
      <c r="C56" s="310">
        <f>NPA_PS_14!M56+NPA_NPS_15!K56</f>
        <v>29729</v>
      </c>
      <c r="D56" s="311">
        <f>NPA_PS_14!N56+NPA_NPS_15!L56</f>
        <v>52014.880000000005</v>
      </c>
      <c r="E56" s="310">
        <f>'Pri Sec_outstanding_6'!O56+NPS_OS_8!U56</f>
        <v>1059159</v>
      </c>
      <c r="F56" s="310">
        <f>'CD Ratio_3(i)'!F56</f>
        <v>3649498.67</v>
      </c>
      <c r="G56" s="327">
        <f t="shared" si="0"/>
        <v>1.4252609660493452</v>
      </c>
      <c r="H56" s="43">
        <f>NPA_PS_14!N56+NPA_NPS_15!L55</f>
        <v>33003.5</v>
      </c>
      <c r="I56" s="329">
        <f t="shared" si="1"/>
        <v>-19011.380000000005</v>
      </c>
      <c r="J56" s="329"/>
      <c r="K56" s="178"/>
      <c r="L56" s="329"/>
      <c r="M56" s="329"/>
      <c r="N56" s="329"/>
      <c r="O56" s="329"/>
    </row>
    <row r="57" spans="1:15" ht="15" customHeight="1" x14ac:dyDescent="0.2">
      <c r="A57" s="196">
        <v>50</v>
      </c>
      <c r="B57" s="168" t="s">
        <v>47</v>
      </c>
      <c r="C57" s="308">
        <f>NPA_PS_14!M57+NPA_NPS_15!K57</f>
        <v>91981</v>
      </c>
      <c r="D57" s="75">
        <f>NPA_PS_14!N57+NPA_NPS_15!L57</f>
        <v>48587</v>
      </c>
      <c r="E57" s="308">
        <f>'Pri Sec_outstanding_6'!O57+NPS_OS_8!U57</f>
        <v>383504</v>
      </c>
      <c r="F57" s="308">
        <f>'CD Ratio_3(i)'!F57</f>
        <v>399321.2</v>
      </c>
      <c r="G57" s="326">
        <f t="shared" si="0"/>
        <v>12.167398074532482</v>
      </c>
      <c r="H57" s="37">
        <f>NPA_PS_14!N57+NPA_NPS_15!L56</f>
        <v>64221.380000000005</v>
      </c>
      <c r="I57" s="178">
        <f t="shared" si="1"/>
        <v>15634.380000000005</v>
      </c>
    </row>
    <row r="58" spans="1:15" ht="15" customHeight="1" x14ac:dyDescent="0.2">
      <c r="A58" s="196">
        <v>51</v>
      </c>
      <c r="B58" s="168" t="s">
        <v>230</v>
      </c>
      <c r="C58" s="308">
        <f>NPA_PS_14!M58+NPA_NPS_15!K58</f>
        <v>81025</v>
      </c>
      <c r="D58" s="75">
        <f>NPA_PS_14!N58+NPA_NPS_15!L58</f>
        <v>53337</v>
      </c>
      <c r="E58" s="308">
        <f>'Pri Sec_outstanding_6'!O58+NPS_OS_8!U58</f>
        <v>354674</v>
      </c>
      <c r="F58" s="308">
        <f>'CD Ratio_3(i)'!F58</f>
        <v>261454</v>
      </c>
      <c r="G58" s="326">
        <f t="shared" si="0"/>
        <v>20.400146870960093</v>
      </c>
      <c r="H58" s="37">
        <f>NPA_PS_14!N58+NPA_NPS_15!L57</f>
        <v>55517</v>
      </c>
      <c r="I58" s="178">
        <f t="shared" si="1"/>
        <v>2180</v>
      </c>
    </row>
    <row r="59" spans="1:15" ht="15" customHeight="1" x14ac:dyDescent="0.2">
      <c r="A59" s="196">
        <v>52</v>
      </c>
      <c r="B59" s="168" t="s">
        <v>53</v>
      </c>
      <c r="C59" s="308">
        <f>NPA_PS_14!M59+NPA_NPS_15!K59</f>
        <v>22175</v>
      </c>
      <c r="D59" s="75">
        <f>NPA_PS_14!N59+NPA_NPS_15!L59</f>
        <v>16533.05</v>
      </c>
      <c r="E59" s="308">
        <f>'Pri Sec_outstanding_6'!O59+NPS_OS_8!U59</f>
        <v>353124</v>
      </c>
      <c r="F59" s="308">
        <f>'CD Ratio_3(i)'!F59</f>
        <v>445858</v>
      </c>
      <c r="G59" s="326">
        <f t="shared" si="0"/>
        <v>3.7081425027699404</v>
      </c>
      <c r="H59" s="37">
        <f>NPA_PS_14!N59+NPA_NPS_15!L58</f>
        <v>17304.03</v>
      </c>
      <c r="I59" s="178">
        <f t="shared" si="1"/>
        <v>770.97999999999956</v>
      </c>
    </row>
    <row r="60" spans="1:15" s="43" customFormat="1" ht="15" customHeight="1" x14ac:dyDescent="0.2">
      <c r="A60" s="330"/>
      <c r="B60" s="206" t="s">
        <v>422</v>
      </c>
      <c r="C60" s="310">
        <f>NPA_PS_14!M60+NPA_NPS_15!K60</f>
        <v>195181</v>
      </c>
      <c r="D60" s="311">
        <f>NPA_PS_14!N60+NPA_NPS_15!L60</f>
        <v>118457.05</v>
      </c>
      <c r="E60" s="310">
        <f>'Pri Sec_outstanding_6'!O60+NPS_OS_8!U60</f>
        <v>1091302</v>
      </c>
      <c r="F60" s="310">
        <f>'CD Ratio_3(i)'!F60</f>
        <v>1106633.2</v>
      </c>
      <c r="G60" s="327">
        <f t="shared" si="0"/>
        <v>10.704274008768218</v>
      </c>
      <c r="I60" s="329"/>
      <c r="J60" s="329"/>
      <c r="K60" s="178"/>
      <c r="L60" s="329"/>
      <c r="M60" s="329"/>
      <c r="N60" s="329"/>
      <c r="O60" s="329"/>
    </row>
    <row r="61" spans="1:15" ht="15" customHeight="1" x14ac:dyDescent="0.2">
      <c r="A61" s="328">
        <v>53</v>
      </c>
      <c r="B61" s="203" t="s">
        <v>409</v>
      </c>
      <c r="C61" s="308">
        <f>NPA_PS_14!M61+NPA_NPS_15!K61</f>
        <v>0</v>
      </c>
      <c r="D61" s="75">
        <f>NPA_PS_14!N61+NPA_NPS_15!L61</f>
        <v>270486</v>
      </c>
      <c r="E61" s="308">
        <f>'Pri Sec_outstanding_6'!O61+NPS_OS_8!U61</f>
        <v>5686238</v>
      </c>
      <c r="F61" s="308">
        <f>'CD Ratio_3(i)'!F61</f>
        <v>1860135.99</v>
      </c>
      <c r="G61" s="326">
        <f t="shared" si="0"/>
        <v>14.541194915539482</v>
      </c>
    </row>
    <row r="62" spans="1:15" s="43" customFormat="1" ht="15" customHeight="1" x14ac:dyDescent="0.2">
      <c r="A62" s="330"/>
      <c r="B62" s="206" t="s">
        <v>410</v>
      </c>
      <c r="C62" s="310">
        <f>NPA_PS_14!M62+NPA_NPS_15!K62</f>
        <v>0</v>
      </c>
      <c r="D62" s="311">
        <f>NPA_PS_14!N62+NPA_NPS_15!L62</f>
        <v>270486</v>
      </c>
      <c r="E62" s="310">
        <f>'Pri Sec_outstanding_6'!O62+NPS_OS_8!U62</f>
        <v>5686238</v>
      </c>
      <c r="F62" s="310">
        <f>'CD Ratio_3(i)'!F62</f>
        <v>1860135.99</v>
      </c>
      <c r="G62" s="327">
        <f t="shared" si="0"/>
        <v>14.541194915539482</v>
      </c>
      <c r="I62" s="329"/>
      <c r="J62" s="329"/>
      <c r="K62" s="178"/>
      <c r="L62" s="329"/>
      <c r="M62" s="329"/>
      <c r="N62" s="329"/>
      <c r="O62" s="329"/>
    </row>
    <row r="63" spans="1:15" s="43" customFormat="1" ht="15" customHeight="1" x14ac:dyDescent="0.2">
      <c r="A63" s="330"/>
      <c r="B63" s="206" t="s">
        <v>411</v>
      </c>
      <c r="C63" s="310">
        <f>NPA_PS_14!M63+NPA_NPS_15!K63</f>
        <v>635026</v>
      </c>
      <c r="D63" s="311">
        <f>NPA_PS_14!N63+NPA_NPS_15!L63</f>
        <v>1368168.9500000002</v>
      </c>
      <c r="E63" s="310">
        <f>'Pri Sec_outstanding_6'!O63+NPS_OS_8!U63</f>
        <v>11600603</v>
      </c>
      <c r="F63" s="310">
        <f>'CD Ratio_3(i)'!F63</f>
        <v>22004242.350000001</v>
      </c>
      <c r="G63" s="327">
        <f t="shared" si="0"/>
        <v>6.2177507784084201</v>
      </c>
      <c r="I63" s="329"/>
      <c r="J63" s="329"/>
      <c r="K63" s="178"/>
      <c r="L63" s="329"/>
      <c r="M63" s="329"/>
      <c r="N63" s="329"/>
      <c r="O63" s="329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9" type="noConversion"/>
  <conditionalFormatting sqref="C3">
    <cfRule type="cellIs" dxfId="93" priority="9" operator="lessThan">
      <formula>0</formula>
    </cfRule>
  </conditionalFormatting>
  <conditionalFormatting sqref="E3">
    <cfRule type="cellIs" dxfId="92" priority="8" operator="lessThan">
      <formula>0</formula>
    </cfRule>
  </conditionalFormatting>
  <conditionalFormatting sqref="B6">
    <cfRule type="duplicateValues" dxfId="91" priority="2"/>
  </conditionalFormatting>
  <conditionalFormatting sqref="B22">
    <cfRule type="duplicateValues" dxfId="90" priority="3"/>
  </conditionalFormatting>
  <conditionalFormatting sqref="B33:B34 B26:B30">
    <cfRule type="duplicateValues" dxfId="89" priority="4"/>
  </conditionalFormatting>
  <conditionalFormatting sqref="B52">
    <cfRule type="duplicateValues" dxfId="88" priority="5"/>
  </conditionalFormatting>
  <conditionalFormatting sqref="B56">
    <cfRule type="duplicateValues" dxfId="87" priority="6"/>
  </conditionalFormatting>
  <conditionalFormatting sqref="B58">
    <cfRule type="duplicateValues" dxfId="86" priority="7"/>
  </conditionalFormatting>
  <conditionalFormatting sqref="K6:K63">
    <cfRule type="cellIs" dxfId="85" priority="1" operator="greaterThan">
      <formula>100</formula>
    </cfRule>
  </conditionalFormatting>
  <pageMargins left="1.2" right="0.7" top="0.25" bottom="0.25" header="0.3" footer="0.3"/>
  <pageSetup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64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D63" sqref="D63"/>
    </sheetView>
  </sheetViews>
  <sheetFormatPr defaultRowHeight="12.75" x14ac:dyDescent="0.2"/>
  <cols>
    <col min="1" max="1" width="5.7109375" style="185" customWidth="1"/>
    <col min="2" max="2" width="29" style="185" customWidth="1"/>
    <col min="3" max="4" width="10.42578125" style="185" bestFit="1" customWidth="1"/>
    <col min="5" max="5" width="8.7109375" style="185" bestFit="1" customWidth="1"/>
    <col min="6" max="6" width="9" style="185" bestFit="1" customWidth="1"/>
    <col min="7" max="7" width="7" style="185" customWidth="1"/>
    <col min="8" max="8" width="8.7109375" style="185" bestFit="1" customWidth="1"/>
    <col min="9" max="9" width="9.85546875" style="185" bestFit="1" customWidth="1"/>
    <col min="10" max="10" width="10.5703125" style="185" bestFit="1" customWidth="1"/>
    <col min="11" max="12" width="9.140625" style="185" bestFit="1" customWidth="1"/>
    <col min="13" max="13" width="10.140625" style="185" bestFit="1" customWidth="1"/>
    <col min="14" max="14" width="10.42578125" style="185" bestFit="1" customWidth="1"/>
    <col min="15" max="15" width="11.42578125" style="188" hidden="1" customWidth="1"/>
    <col min="16" max="16" width="0" style="185" hidden="1" customWidth="1"/>
    <col min="17" max="16384" width="9.140625" style="185"/>
  </cols>
  <sheetData>
    <row r="1" spans="1:17" ht="14.25" customHeight="1" x14ac:dyDescent="0.2">
      <c r="A1" s="462" t="s">
        <v>485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17" ht="15.75" x14ac:dyDescent="0.2">
      <c r="A2" s="467" t="s">
        <v>31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</row>
    <row r="3" spans="1:17" ht="14.25" x14ac:dyDescent="0.2">
      <c r="A3" s="187"/>
      <c r="B3" s="186" t="s">
        <v>12</v>
      </c>
      <c r="C3" s="187"/>
      <c r="D3" s="187"/>
      <c r="E3" s="187"/>
      <c r="F3" s="187"/>
      <c r="G3" s="187"/>
      <c r="H3" s="187"/>
      <c r="K3" s="187"/>
      <c r="L3" s="481" t="s">
        <v>170</v>
      </c>
      <c r="M3" s="481"/>
    </row>
    <row r="4" spans="1:17" ht="15" customHeight="1" x14ac:dyDescent="0.2">
      <c r="A4" s="473" t="s">
        <v>232</v>
      </c>
      <c r="B4" s="475" t="s">
        <v>3</v>
      </c>
      <c r="C4" s="478" t="s">
        <v>18</v>
      </c>
      <c r="D4" s="479"/>
      <c r="E4" s="478" t="s">
        <v>19</v>
      </c>
      <c r="F4" s="479"/>
      <c r="G4" s="478" t="s">
        <v>20</v>
      </c>
      <c r="H4" s="479"/>
      <c r="I4" s="478" t="s">
        <v>24</v>
      </c>
      <c r="J4" s="479"/>
      <c r="K4" s="480" t="s">
        <v>38</v>
      </c>
      <c r="L4" s="480"/>
      <c r="M4" s="480" t="s">
        <v>113</v>
      </c>
      <c r="N4" s="480"/>
      <c r="O4" s="477" t="s">
        <v>117</v>
      </c>
    </row>
    <row r="5" spans="1:17" ht="15" customHeight="1" x14ac:dyDescent="0.2">
      <c r="A5" s="474"/>
      <c r="B5" s="476"/>
      <c r="C5" s="289" t="s">
        <v>30</v>
      </c>
      <c r="D5" s="289" t="s">
        <v>17</v>
      </c>
      <c r="E5" s="289" t="s">
        <v>30</v>
      </c>
      <c r="F5" s="289" t="s">
        <v>17</v>
      </c>
      <c r="G5" s="289" t="s">
        <v>30</v>
      </c>
      <c r="H5" s="289" t="s">
        <v>17</v>
      </c>
      <c r="I5" s="289" t="s">
        <v>30</v>
      </c>
      <c r="J5" s="289" t="s">
        <v>17</v>
      </c>
      <c r="K5" s="289" t="s">
        <v>30</v>
      </c>
      <c r="L5" s="289" t="s">
        <v>17</v>
      </c>
      <c r="M5" s="289" t="s">
        <v>30</v>
      </c>
      <c r="N5" s="289" t="s">
        <v>17</v>
      </c>
      <c r="O5" s="477"/>
    </row>
    <row r="6" spans="1:17" ht="15" customHeight="1" x14ac:dyDescent="0.2">
      <c r="A6" s="181">
        <v>1</v>
      </c>
      <c r="B6" s="182" t="s">
        <v>56</v>
      </c>
      <c r="C6" s="220">
        <v>10487</v>
      </c>
      <c r="D6" s="220">
        <v>20457.490000000002</v>
      </c>
      <c r="E6" s="220">
        <v>285</v>
      </c>
      <c r="F6" s="312">
        <v>660.85</v>
      </c>
      <c r="G6" s="220">
        <v>242</v>
      </c>
      <c r="H6" s="220">
        <v>537.51</v>
      </c>
      <c r="I6" s="220">
        <v>5298</v>
      </c>
      <c r="J6" s="312">
        <v>29991</v>
      </c>
      <c r="K6" s="220">
        <v>404</v>
      </c>
      <c r="L6" s="220">
        <v>97.35</v>
      </c>
      <c r="M6" s="220">
        <f>C6+E6+G6+I6+K6</f>
        <v>16716</v>
      </c>
      <c r="N6" s="220">
        <f>D6+F6+H6+J6+L6</f>
        <v>51744.2</v>
      </c>
      <c r="O6" s="305" t="e">
        <f>N6*100/P6</f>
        <v>#REF!</v>
      </c>
      <c r="P6" s="313" t="e">
        <f>'Pri Sec_outstanding_6'!#REF!</f>
        <v>#REF!</v>
      </c>
      <c r="Q6" s="313"/>
    </row>
    <row r="7" spans="1:17" ht="15" customHeight="1" x14ac:dyDescent="0.2">
      <c r="A7" s="181">
        <v>2</v>
      </c>
      <c r="B7" s="182" t="s">
        <v>57</v>
      </c>
      <c r="C7" s="132">
        <v>7</v>
      </c>
      <c r="D7" s="132">
        <v>5.69</v>
      </c>
      <c r="E7" s="132">
        <v>22</v>
      </c>
      <c r="F7" s="132">
        <v>219.91</v>
      </c>
      <c r="G7" s="132">
        <v>7</v>
      </c>
      <c r="H7" s="132">
        <v>11.42</v>
      </c>
      <c r="I7" s="132">
        <v>208</v>
      </c>
      <c r="J7" s="132">
        <v>1831.53</v>
      </c>
      <c r="K7" s="132">
        <v>39</v>
      </c>
      <c r="L7" s="132">
        <v>65.849999999999994</v>
      </c>
      <c r="M7" s="220">
        <f t="shared" ref="M7:M61" si="0">C7+E7+G7+I7+K7</f>
        <v>283</v>
      </c>
      <c r="N7" s="220">
        <f t="shared" ref="N7:N61" si="1">D7+F7+H7+J7+L7</f>
        <v>2134.4</v>
      </c>
      <c r="O7" s="305" t="e">
        <f>N7*100/P7</f>
        <v>#REF!</v>
      </c>
      <c r="P7" s="313" t="e">
        <f>'Pri Sec_outstanding_6'!#REF!</f>
        <v>#REF!</v>
      </c>
      <c r="Q7" s="313"/>
    </row>
    <row r="8" spans="1:17" ht="15" customHeight="1" x14ac:dyDescent="0.2">
      <c r="A8" s="181">
        <v>3</v>
      </c>
      <c r="B8" s="182" t="s">
        <v>58</v>
      </c>
      <c r="C8" s="132">
        <v>6610</v>
      </c>
      <c r="D8" s="132">
        <v>26913</v>
      </c>
      <c r="E8" s="132">
        <v>2609</v>
      </c>
      <c r="F8" s="132">
        <v>3719.5</v>
      </c>
      <c r="G8" s="132">
        <v>387</v>
      </c>
      <c r="H8" s="132">
        <v>1451</v>
      </c>
      <c r="I8" s="132">
        <v>2669</v>
      </c>
      <c r="J8" s="132">
        <v>21473</v>
      </c>
      <c r="K8" s="132">
        <v>359</v>
      </c>
      <c r="L8" s="132">
        <v>6923</v>
      </c>
      <c r="M8" s="220">
        <f t="shared" si="0"/>
        <v>12634</v>
      </c>
      <c r="N8" s="220">
        <f t="shared" si="1"/>
        <v>60479.5</v>
      </c>
      <c r="O8" s="305" t="e">
        <f t="shared" ref="O8:O59" si="2">N8*100/P8</f>
        <v>#REF!</v>
      </c>
      <c r="P8" s="313" t="e">
        <f>'Pri Sec_outstanding_6'!#REF!</f>
        <v>#REF!</v>
      </c>
      <c r="Q8" s="313"/>
    </row>
    <row r="9" spans="1:17" ht="15" customHeight="1" x14ac:dyDescent="0.2">
      <c r="A9" s="181">
        <v>4</v>
      </c>
      <c r="B9" s="182" t="s">
        <v>59</v>
      </c>
      <c r="C9" s="132">
        <v>16898</v>
      </c>
      <c r="D9" s="132">
        <v>30112</v>
      </c>
      <c r="E9" s="132">
        <v>1695</v>
      </c>
      <c r="F9" s="132">
        <v>678</v>
      </c>
      <c r="G9" s="132">
        <v>2811</v>
      </c>
      <c r="H9" s="132">
        <v>1772</v>
      </c>
      <c r="I9" s="132">
        <v>15186</v>
      </c>
      <c r="J9" s="132">
        <v>21952</v>
      </c>
      <c r="K9" s="132">
        <v>2169</v>
      </c>
      <c r="L9" s="132">
        <v>1792</v>
      </c>
      <c r="M9" s="220">
        <f t="shared" si="0"/>
        <v>38759</v>
      </c>
      <c r="N9" s="220">
        <f t="shared" si="1"/>
        <v>56306</v>
      </c>
      <c r="O9" s="305" t="e">
        <f t="shared" si="2"/>
        <v>#REF!</v>
      </c>
      <c r="P9" s="313" t="e">
        <f>'Pri Sec_outstanding_6'!#REF!</f>
        <v>#REF!</v>
      </c>
      <c r="Q9" s="313"/>
    </row>
    <row r="10" spans="1:17" ht="15" customHeight="1" x14ac:dyDescent="0.2">
      <c r="A10" s="181">
        <v>5</v>
      </c>
      <c r="B10" s="182" t="s">
        <v>60</v>
      </c>
      <c r="C10" s="132">
        <v>7601</v>
      </c>
      <c r="D10" s="132">
        <v>10197</v>
      </c>
      <c r="E10" s="132">
        <v>1736</v>
      </c>
      <c r="F10" s="132">
        <v>2345</v>
      </c>
      <c r="G10" s="132">
        <v>213</v>
      </c>
      <c r="H10" s="132">
        <v>378</v>
      </c>
      <c r="I10" s="132">
        <v>6248</v>
      </c>
      <c r="J10" s="132">
        <v>16364</v>
      </c>
      <c r="K10" s="132">
        <v>1609</v>
      </c>
      <c r="L10" s="132">
        <v>1421</v>
      </c>
      <c r="M10" s="220">
        <f t="shared" si="0"/>
        <v>17407</v>
      </c>
      <c r="N10" s="220">
        <f t="shared" si="1"/>
        <v>30705</v>
      </c>
      <c r="O10" s="305" t="e">
        <f t="shared" si="2"/>
        <v>#REF!</v>
      </c>
      <c r="P10" s="313" t="e">
        <f>'Pri Sec_outstanding_6'!#REF!</f>
        <v>#REF!</v>
      </c>
      <c r="Q10" s="313"/>
    </row>
    <row r="11" spans="1:17" ht="15" customHeight="1" x14ac:dyDescent="0.2">
      <c r="A11" s="181">
        <v>6</v>
      </c>
      <c r="B11" s="309" t="s">
        <v>244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220">
        <f t="shared" si="0"/>
        <v>0</v>
      </c>
      <c r="N11" s="220">
        <f t="shared" si="1"/>
        <v>0</v>
      </c>
      <c r="O11" s="305" t="e">
        <f t="shared" si="2"/>
        <v>#REF!</v>
      </c>
      <c r="P11" s="313" t="e">
        <f>'Pri Sec_outstanding_6'!#REF!</f>
        <v>#REF!</v>
      </c>
      <c r="Q11" s="313"/>
    </row>
    <row r="12" spans="1:17" ht="15" customHeight="1" x14ac:dyDescent="0.2">
      <c r="A12" s="181">
        <v>7</v>
      </c>
      <c r="B12" s="182" t="s">
        <v>61</v>
      </c>
      <c r="C12" s="132">
        <v>3156</v>
      </c>
      <c r="D12" s="132">
        <v>5604</v>
      </c>
      <c r="E12" s="132">
        <v>197</v>
      </c>
      <c r="F12" s="132">
        <v>2346</v>
      </c>
      <c r="G12" s="132">
        <v>197</v>
      </c>
      <c r="H12" s="132">
        <v>425</v>
      </c>
      <c r="I12" s="132">
        <v>2342</v>
      </c>
      <c r="J12" s="132">
        <v>13428</v>
      </c>
      <c r="K12" s="132">
        <v>287</v>
      </c>
      <c r="L12" s="132">
        <v>110</v>
      </c>
      <c r="M12" s="220">
        <f t="shared" si="0"/>
        <v>6179</v>
      </c>
      <c r="N12" s="220">
        <f t="shared" si="1"/>
        <v>21913</v>
      </c>
      <c r="O12" s="305" t="e">
        <f t="shared" si="2"/>
        <v>#REF!</v>
      </c>
      <c r="P12" s="313" t="e">
        <f>'Pri Sec_outstanding_6'!#REF!</f>
        <v>#REF!</v>
      </c>
      <c r="Q12" s="313"/>
    </row>
    <row r="13" spans="1:17" s="403" customFormat="1" ht="15" customHeight="1" x14ac:dyDescent="0.2">
      <c r="A13" s="397">
        <v>8</v>
      </c>
      <c r="B13" s="398" t="s">
        <v>62</v>
      </c>
      <c r="C13" s="399">
        <v>22387</v>
      </c>
      <c r="D13" s="399">
        <v>34064</v>
      </c>
      <c r="E13" s="399">
        <v>9483</v>
      </c>
      <c r="F13" s="399">
        <v>8631</v>
      </c>
      <c r="G13" s="399">
        <v>1050</v>
      </c>
      <c r="H13" s="399">
        <v>1817</v>
      </c>
      <c r="I13" s="399">
        <v>34730</v>
      </c>
      <c r="J13" s="399">
        <v>24156</v>
      </c>
      <c r="K13" s="399">
        <v>1452</v>
      </c>
      <c r="L13" s="399">
        <v>264</v>
      </c>
      <c r="M13" s="400">
        <f t="shared" si="0"/>
        <v>69102</v>
      </c>
      <c r="N13" s="400">
        <f t="shared" si="1"/>
        <v>68932</v>
      </c>
      <c r="O13" s="401" t="e">
        <f t="shared" si="2"/>
        <v>#REF!</v>
      </c>
      <c r="P13" s="402" t="e">
        <f>'Pri Sec_outstanding_6'!#REF!</f>
        <v>#REF!</v>
      </c>
      <c r="Q13" s="402"/>
    </row>
    <row r="14" spans="1:17" ht="15" customHeight="1" x14ac:dyDescent="0.2">
      <c r="A14" s="181">
        <v>9</v>
      </c>
      <c r="B14" s="182" t="s">
        <v>49</v>
      </c>
      <c r="C14" s="132">
        <v>449</v>
      </c>
      <c r="D14" s="132">
        <v>1135</v>
      </c>
      <c r="E14" s="132">
        <v>30</v>
      </c>
      <c r="F14" s="132">
        <v>195</v>
      </c>
      <c r="G14" s="132">
        <v>34</v>
      </c>
      <c r="H14" s="132">
        <v>95</v>
      </c>
      <c r="I14" s="132">
        <v>515</v>
      </c>
      <c r="J14" s="132">
        <v>3961</v>
      </c>
      <c r="K14" s="132">
        <v>141</v>
      </c>
      <c r="L14" s="132">
        <v>4377</v>
      </c>
      <c r="M14" s="220">
        <f t="shared" si="0"/>
        <v>1169</v>
      </c>
      <c r="N14" s="220">
        <f t="shared" si="1"/>
        <v>9763</v>
      </c>
      <c r="O14" s="305" t="e">
        <f t="shared" si="2"/>
        <v>#REF!</v>
      </c>
      <c r="P14" s="313" t="e">
        <f>'Pri Sec_outstanding_6'!#REF!</f>
        <v>#REF!</v>
      </c>
      <c r="Q14" s="313"/>
    </row>
    <row r="15" spans="1:17" ht="15" customHeight="1" x14ac:dyDescent="0.2">
      <c r="A15" s="181">
        <v>10</v>
      </c>
      <c r="B15" s="182" t="s">
        <v>50</v>
      </c>
      <c r="C15" s="132">
        <v>2703</v>
      </c>
      <c r="D15" s="132">
        <v>4001</v>
      </c>
      <c r="E15" s="132">
        <v>159</v>
      </c>
      <c r="F15" s="132">
        <v>334</v>
      </c>
      <c r="G15" s="132">
        <v>133</v>
      </c>
      <c r="H15" s="132">
        <v>168</v>
      </c>
      <c r="I15" s="132">
        <v>4446</v>
      </c>
      <c r="J15" s="132">
        <v>3316</v>
      </c>
      <c r="K15" s="132">
        <v>660</v>
      </c>
      <c r="L15" s="132">
        <v>305</v>
      </c>
      <c r="M15" s="220">
        <f t="shared" si="0"/>
        <v>8101</v>
      </c>
      <c r="N15" s="220">
        <f t="shared" si="1"/>
        <v>8124</v>
      </c>
      <c r="O15" s="305" t="e">
        <f t="shared" si="2"/>
        <v>#REF!</v>
      </c>
      <c r="P15" s="313" t="e">
        <f>'Pri Sec_outstanding_6'!#REF!</f>
        <v>#REF!</v>
      </c>
      <c r="Q15" s="313"/>
    </row>
    <row r="16" spans="1:17" ht="15" customHeight="1" x14ac:dyDescent="0.2">
      <c r="A16" s="181">
        <v>11</v>
      </c>
      <c r="B16" s="182" t="s">
        <v>82</v>
      </c>
      <c r="C16" s="132">
        <v>354</v>
      </c>
      <c r="D16" s="132">
        <v>1616</v>
      </c>
      <c r="E16" s="132">
        <v>49</v>
      </c>
      <c r="F16" s="132">
        <v>498</v>
      </c>
      <c r="G16" s="132">
        <v>7</v>
      </c>
      <c r="H16" s="132">
        <v>20</v>
      </c>
      <c r="I16" s="132">
        <v>422</v>
      </c>
      <c r="J16" s="132">
        <v>2980</v>
      </c>
      <c r="K16" s="132">
        <v>0</v>
      </c>
      <c r="L16" s="132">
        <v>0</v>
      </c>
      <c r="M16" s="220">
        <f t="shared" si="0"/>
        <v>832</v>
      </c>
      <c r="N16" s="220">
        <f t="shared" si="1"/>
        <v>5114</v>
      </c>
      <c r="O16" s="305" t="e">
        <f t="shared" si="2"/>
        <v>#REF!</v>
      </c>
      <c r="P16" s="313" t="e">
        <f>'Pri Sec_outstanding_6'!#REF!</f>
        <v>#REF!</v>
      </c>
      <c r="Q16" s="313"/>
    </row>
    <row r="17" spans="1:17" ht="15" customHeight="1" x14ac:dyDescent="0.2">
      <c r="A17" s="181">
        <v>12</v>
      </c>
      <c r="B17" s="182" t="s">
        <v>63</v>
      </c>
      <c r="C17" s="132">
        <v>205</v>
      </c>
      <c r="D17" s="132">
        <v>268.31</v>
      </c>
      <c r="E17" s="132">
        <v>10</v>
      </c>
      <c r="F17" s="132">
        <v>22.9</v>
      </c>
      <c r="G17" s="132">
        <v>114</v>
      </c>
      <c r="H17" s="132">
        <v>20.73</v>
      </c>
      <c r="I17" s="132">
        <v>112</v>
      </c>
      <c r="J17" s="132">
        <v>610.51</v>
      </c>
      <c r="K17" s="132">
        <v>0</v>
      </c>
      <c r="L17" s="132">
        <v>0</v>
      </c>
      <c r="M17" s="220">
        <f t="shared" si="0"/>
        <v>441</v>
      </c>
      <c r="N17" s="220">
        <f t="shared" si="1"/>
        <v>922.45</v>
      </c>
      <c r="O17" s="305" t="e">
        <f t="shared" si="2"/>
        <v>#REF!</v>
      </c>
      <c r="P17" s="313" t="e">
        <f>'Pri Sec_outstanding_6'!#REF!</f>
        <v>#REF!</v>
      </c>
      <c r="Q17" s="313"/>
    </row>
    <row r="18" spans="1:17" ht="15" customHeight="1" x14ac:dyDescent="0.2">
      <c r="A18" s="181">
        <v>13</v>
      </c>
      <c r="B18" s="182" t="s">
        <v>64</v>
      </c>
      <c r="C18" s="132">
        <v>56</v>
      </c>
      <c r="D18" s="132">
        <v>96.7</v>
      </c>
      <c r="E18" s="132">
        <v>51</v>
      </c>
      <c r="F18" s="132">
        <v>110.7</v>
      </c>
      <c r="G18" s="132">
        <v>10</v>
      </c>
      <c r="H18" s="132">
        <v>26.18</v>
      </c>
      <c r="I18" s="132">
        <v>619</v>
      </c>
      <c r="J18" s="132">
        <v>1156.57</v>
      </c>
      <c r="K18" s="132">
        <v>64</v>
      </c>
      <c r="L18" s="132">
        <v>81.66</v>
      </c>
      <c r="M18" s="220">
        <f t="shared" si="0"/>
        <v>800</v>
      </c>
      <c r="N18" s="220">
        <f t="shared" si="1"/>
        <v>1471.81</v>
      </c>
      <c r="O18" s="305" t="e">
        <f t="shared" si="2"/>
        <v>#REF!</v>
      </c>
      <c r="P18" s="313" t="e">
        <f>'Pri Sec_outstanding_6'!#REF!</f>
        <v>#REF!</v>
      </c>
      <c r="Q18" s="313"/>
    </row>
    <row r="19" spans="1:17" ht="15" customHeight="1" x14ac:dyDescent="0.2">
      <c r="A19" s="181">
        <v>14</v>
      </c>
      <c r="B19" s="108" t="s">
        <v>208</v>
      </c>
      <c r="C19" s="132">
        <v>3125</v>
      </c>
      <c r="D19" s="132">
        <v>7038.55</v>
      </c>
      <c r="E19" s="132">
        <v>590</v>
      </c>
      <c r="F19" s="132">
        <v>590.14</v>
      </c>
      <c r="G19" s="132">
        <v>396</v>
      </c>
      <c r="H19" s="132">
        <v>412.05</v>
      </c>
      <c r="I19" s="132">
        <v>1883</v>
      </c>
      <c r="J19" s="132">
        <v>2827.2</v>
      </c>
      <c r="K19" s="132">
        <v>12</v>
      </c>
      <c r="L19" s="132">
        <v>4.1500000000000004</v>
      </c>
      <c r="M19" s="220">
        <f t="shared" si="0"/>
        <v>6006</v>
      </c>
      <c r="N19" s="220">
        <f t="shared" si="1"/>
        <v>10872.09</v>
      </c>
      <c r="O19" s="305" t="e">
        <f t="shared" si="2"/>
        <v>#REF!</v>
      </c>
      <c r="P19" s="313" t="e">
        <f>'Pri Sec_outstanding_6'!#REF!</f>
        <v>#REF!</v>
      </c>
      <c r="Q19" s="313"/>
    </row>
    <row r="20" spans="1:17" ht="15" customHeight="1" x14ac:dyDescent="0.2">
      <c r="A20" s="181">
        <v>15</v>
      </c>
      <c r="B20" s="182" t="s">
        <v>209</v>
      </c>
      <c r="C20" s="132">
        <v>1419</v>
      </c>
      <c r="D20" s="132">
        <v>2286</v>
      </c>
      <c r="E20" s="132">
        <v>92</v>
      </c>
      <c r="F20" s="132">
        <v>150.61000000000001</v>
      </c>
      <c r="G20" s="132">
        <v>2</v>
      </c>
      <c r="H20" s="132">
        <v>70.7</v>
      </c>
      <c r="I20" s="132">
        <v>3014</v>
      </c>
      <c r="J20" s="132">
        <v>1048.56</v>
      </c>
      <c r="K20" s="132">
        <v>98</v>
      </c>
      <c r="L20" s="132">
        <v>30.34</v>
      </c>
      <c r="M20" s="220">
        <f t="shared" si="0"/>
        <v>4625</v>
      </c>
      <c r="N20" s="220">
        <f t="shared" si="1"/>
        <v>3586.21</v>
      </c>
      <c r="O20" s="305" t="e">
        <f t="shared" si="2"/>
        <v>#REF!</v>
      </c>
      <c r="P20" s="313" t="e">
        <f>'Pri Sec_outstanding_6'!#REF!</f>
        <v>#REF!</v>
      </c>
      <c r="Q20" s="313"/>
    </row>
    <row r="21" spans="1:17" ht="15" customHeight="1" x14ac:dyDescent="0.2">
      <c r="A21" s="181">
        <v>16</v>
      </c>
      <c r="B21" s="182" t="s">
        <v>65</v>
      </c>
      <c r="C21" s="132">
        <v>5637</v>
      </c>
      <c r="D21" s="132">
        <v>6564</v>
      </c>
      <c r="E21" s="132">
        <v>629</v>
      </c>
      <c r="F21" s="132">
        <v>3740</v>
      </c>
      <c r="G21" s="132">
        <v>265</v>
      </c>
      <c r="H21" s="132">
        <v>664</v>
      </c>
      <c r="I21" s="132">
        <v>3206</v>
      </c>
      <c r="J21" s="132">
        <v>58572</v>
      </c>
      <c r="K21" s="132">
        <v>920</v>
      </c>
      <c r="L21" s="132">
        <v>1803</v>
      </c>
      <c r="M21" s="220">
        <f t="shared" si="0"/>
        <v>10657</v>
      </c>
      <c r="N21" s="220">
        <f t="shared" si="1"/>
        <v>71343</v>
      </c>
      <c r="O21" s="305" t="e">
        <f t="shared" si="2"/>
        <v>#REF!</v>
      </c>
      <c r="P21" s="313" t="e">
        <f>'Pri Sec_outstanding_6'!#REF!</f>
        <v>#REF!</v>
      </c>
      <c r="Q21" s="313"/>
    </row>
    <row r="22" spans="1:17" ht="15" customHeight="1" x14ac:dyDescent="0.2">
      <c r="A22" s="181">
        <v>17</v>
      </c>
      <c r="B22" s="108" t="s">
        <v>70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37</v>
      </c>
      <c r="J22" s="132">
        <v>172</v>
      </c>
      <c r="K22" s="132">
        <v>23</v>
      </c>
      <c r="L22" s="132">
        <v>66.45</v>
      </c>
      <c r="M22" s="220">
        <f t="shared" si="0"/>
        <v>60</v>
      </c>
      <c r="N22" s="220">
        <f t="shared" si="1"/>
        <v>238.45</v>
      </c>
      <c r="O22" s="305" t="e">
        <f t="shared" si="2"/>
        <v>#REF!</v>
      </c>
      <c r="P22" s="313" t="e">
        <f>'Pri Sec_outstanding_6'!#REF!</f>
        <v>#REF!</v>
      </c>
      <c r="Q22" s="313"/>
    </row>
    <row r="23" spans="1:17" ht="15" customHeight="1" x14ac:dyDescent="0.2">
      <c r="A23" s="181">
        <v>18</v>
      </c>
      <c r="B23" s="108" t="s">
        <v>210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220">
        <f t="shared" si="0"/>
        <v>0</v>
      </c>
      <c r="N23" s="220">
        <f t="shared" si="1"/>
        <v>0</v>
      </c>
      <c r="O23" s="305" t="e">
        <f t="shared" si="2"/>
        <v>#REF!</v>
      </c>
      <c r="P23" s="313" t="e">
        <f>'Pri Sec_outstanding_6'!#REF!</f>
        <v>#REF!</v>
      </c>
      <c r="Q23" s="313"/>
    </row>
    <row r="24" spans="1:17" ht="15" customHeight="1" x14ac:dyDescent="0.2">
      <c r="A24" s="181">
        <v>19</v>
      </c>
      <c r="B24" s="132" t="s">
        <v>211</v>
      </c>
      <c r="C24" s="132">
        <v>5</v>
      </c>
      <c r="D24" s="132">
        <v>41</v>
      </c>
      <c r="E24" s="132">
        <v>0</v>
      </c>
      <c r="F24" s="132">
        <v>0</v>
      </c>
      <c r="G24" s="132">
        <v>0</v>
      </c>
      <c r="H24" s="132">
        <v>0</v>
      </c>
      <c r="I24" s="132">
        <v>14</v>
      </c>
      <c r="J24" s="132">
        <v>91.55</v>
      </c>
      <c r="K24" s="132">
        <v>0</v>
      </c>
      <c r="L24" s="132">
        <v>0</v>
      </c>
      <c r="M24" s="220">
        <f t="shared" si="0"/>
        <v>19</v>
      </c>
      <c r="N24" s="220">
        <f t="shared" si="1"/>
        <v>132.55000000000001</v>
      </c>
      <c r="O24" s="305" t="e">
        <f t="shared" si="2"/>
        <v>#REF!</v>
      </c>
      <c r="P24" s="313" t="e">
        <f>'Pri Sec_outstanding_6'!#REF!</f>
        <v>#REF!</v>
      </c>
      <c r="Q24" s="313"/>
    </row>
    <row r="25" spans="1:17" ht="15" customHeight="1" x14ac:dyDescent="0.2">
      <c r="A25" s="181">
        <v>20</v>
      </c>
      <c r="B25" s="182" t="s">
        <v>212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15</v>
      </c>
      <c r="J25" s="132">
        <v>2538</v>
      </c>
      <c r="K25" s="132">
        <v>6</v>
      </c>
      <c r="L25" s="132">
        <v>123</v>
      </c>
      <c r="M25" s="220">
        <f t="shared" si="0"/>
        <v>21</v>
      </c>
      <c r="N25" s="220">
        <f t="shared" si="1"/>
        <v>2661</v>
      </c>
      <c r="O25" s="305" t="e">
        <f t="shared" si="2"/>
        <v>#REF!</v>
      </c>
      <c r="P25" s="313" t="e">
        <f>'Pri Sec_outstanding_6'!#REF!</f>
        <v>#REF!</v>
      </c>
      <c r="Q25" s="313"/>
    </row>
    <row r="26" spans="1:17" ht="15" customHeight="1" x14ac:dyDescent="0.2">
      <c r="A26" s="181">
        <v>21</v>
      </c>
      <c r="B26" s="182" t="s">
        <v>213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220">
        <f t="shared" si="0"/>
        <v>0</v>
      </c>
      <c r="N26" s="220">
        <f t="shared" si="1"/>
        <v>0</v>
      </c>
      <c r="O26" s="305" t="e">
        <f t="shared" si="2"/>
        <v>#REF!</v>
      </c>
      <c r="P26" s="313" t="e">
        <f>'Pri Sec_outstanding_6'!#REF!</f>
        <v>#REF!</v>
      </c>
      <c r="Q26" s="313"/>
    </row>
    <row r="27" spans="1:17" ht="15" customHeight="1" x14ac:dyDescent="0.2">
      <c r="A27" s="181">
        <v>22</v>
      </c>
      <c r="B27" s="182" t="s">
        <v>71</v>
      </c>
      <c r="C27" s="132">
        <v>81659</v>
      </c>
      <c r="D27" s="132">
        <v>87529</v>
      </c>
      <c r="E27" s="132">
        <v>13978</v>
      </c>
      <c r="F27" s="132">
        <v>11333</v>
      </c>
      <c r="G27" s="132">
        <v>706</v>
      </c>
      <c r="H27" s="132">
        <v>1474</v>
      </c>
      <c r="I27" s="132">
        <v>23206</v>
      </c>
      <c r="J27" s="132">
        <v>14427</v>
      </c>
      <c r="K27" s="132">
        <v>0</v>
      </c>
      <c r="L27" s="132">
        <v>0</v>
      </c>
      <c r="M27" s="220">
        <f t="shared" si="0"/>
        <v>119549</v>
      </c>
      <c r="N27" s="220">
        <f t="shared" si="1"/>
        <v>114763</v>
      </c>
      <c r="O27" s="306" t="e">
        <f t="shared" si="2"/>
        <v>#REF!</v>
      </c>
      <c r="P27" s="313" t="e">
        <f>'Pri Sec_outstanding_6'!#REF!</f>
        <v>#REF!</v>
      </c>
      <c r="Q27" s="313"/>
    </row>
    <row r="28" spans="1:17" ht="15" customHeight="1" x14ac:dyDescent="0.2">
      <c r="A28" s="181">
        <v>23</v>
      </c>
      <c r="B28" s="182" t="s">
        <v>66</v>
      </c>
      <c r="C28" s="132">
        <v>2815</v>
      </c>
      <c r="D28" s="132">
        <v>3202</v>
      </c>
      <c r="E28" s="132">
        <v>904</v>
      </c>
      <c r="F28" s="132">
        <v>1414</v>
      </c>
      <c r="G28" s="132">
        <v>174</v>
      </c>
      <c r="H28" s="132">
        <v>281</v>
      </c>
      <c r="I28" s="132">
        <v>4286</v>
      </c>
      <c r="J28" s="132">
        <v>825</v>
      </c>
      <c r="K28" s="132">
        <v>537</v>
      </c>
      <c r="L28" s="132">
        <v>2466</v>
      </c>
      <c r="M28" s="220">
        <f t="shared" si="0"/>
        <v>8716</v>
      </c>
      <c r="N28" s="220">
        <f t="shared" si="1"/>
        <v>8188</v>
      </c>
      <c r="O28" s="305" t="e">
        <f t="shared" si="2"/>
        <v>#REF!</v>
      </c>
      <c r="P28" s="313" t="e">
        <f>'Pri Sec_outstanding_6'!#REF!</f>
        <v>#REF!</v>
      </c>
      <c r="Q28" s="313"/>
    </row>
    <row r="29" spans="1:17" ht="15" customHeight="1" x14ac:dyDescent="0.2">
      <c r="A29" s="181">
        <v>24</v>
      </c>
      <c r="B29" s="182" t="s">
        <v>214</v>
      </c>
      <c r="C29" s="132">
        <v>5446</v>
      </c>
      <c r="D29" s="132">
        <v>15329.5</v>
      </c>
      <c r="E29" s="132">
        <v>147</v>
      </c>
      <c r="F29" s="132">
        <v>1297.1600000000001</v>
      </c>
      <c r="G29" s="132">
        <v>420</v>
      </c>
      <c r="H29" s="132">
        <v>1002.14</v>
      </c>
      <c r="I29" s="132">
        <v>1020</v>
      </c>
      <c r="J29" s="132">
        <v>10886</v>
      </c>
      <c r="K29" s="132">
        <v>7961</v>
      </c>
      <c r="L29" s="132">
        <v>32502.240000000002</v>
      </c>
      <c r="M29" s="220">
        <f t="shared" si="0"/>
        <v>14994</v>
      </c>
      <c r="N29" s="220">
        <f t="shared" si="1"/>
        <v>61017.04</v>
      </c>
      <c r="O29" s="305" t="e">
        <f t="shared" si="2"/>
        <v>#REF!</v>
      </c>
      <c r="P29" s="313" t="e">
        <f>'Pri Sec_outstanding_6'!#REF!</f>
        <v>#REF!</v>
      </c>
      <c r="Q29" s="313"/>
    </row>
    <row r="30" spans="1:17" ht="15" customHeight="1" x14ac:dyDescent="0.2">
      <c r="A30" s="181">
        <v>25</v>
      </c>
      <c r="B30" s="182" t="s">
        <v>67</v>
      </c>
      <c r="C30" s="132">
        <v>21395</v>
      </c>
      <c r="D30" s="132">
        <v>25553.79</v>
      </c>
      <c r="E30" s="132">
        <v>2825</v>
      </c>
      <c r="F30" s="132">
        <v>2537.9499999999998</v>
      </c>
      <c r="G30" s="132">
        <v>542</v>
      </c>
      <c r="H30" s="132">
        <v>880.68</v>
      </c>
      <c r="I30" s="132">
        <v>22628</v>
      </c>
      <c r="J30" s="132">
        <v>19499.48</v>
      </c>
      <c r="K30" s="132">
        <v>4235</v>
      </c>
      <c r="L30" s="132">
        <v>1844.99</v>
      </c>
      <c r="M30" s="220">
        <f t="shared" si="0"/>
        <v>51625</v>
      </c>
      <c r="N30" s="220">
        <f t="shared" si="1"/>
        <v>50316.89</v>
      </c>
      <c r="O30" s="305" t="e">
        <f t="shared" si="2"/>
        <v>#REF!</v>
      </c>
      <c r="P30" s="313" t="e">
        <f>'Pri Sec_outstanding_6'!#REF!</f>
        <v>#REF!</v>
      </c>
      <c r="Q30" s="313"/>
    </row>
    <row r="31" spans="1:17" ht="15" customHeight="1" x14ac:dyDescent="0.2">
      <c r="A31" s="181">
        <v>26</v>
      </c>
      <c r="B31" s="309" t="s">
        <v>68</v>
      </c>
      <c r="C31" s="132">
        <v>37</v>
      </c>
      <c r="D31" s="132">
        <v>183</v>
      </c>
      <c r="E31" s="132">
        <v>6</v>
      </c>
      <c r="F31" s="132">
        <v>73</v>
      </c>
      <c r="G31" s="132">
        <v>0</v>
      </c>
      <c r="H31" s="132">
        <v>0</v>
      </c>
      <c r="I31" s="132">
        <v>137</v>
      </c>
      <c r="J31" s="132">
        <v>737</v>
      </c>
      <c r="K31" s="132">
        <v>0</v>
      </c>
      <c r="L31" s="132">
        <v>0</v>
      </c>
      <c r="M31" s="220">
        <f t="shared" si="0"/>
        <v>180</v>
      </c>
      <c r="N31" s="220">
        <f t="shared" si="1"/>
        <v>993</v>
      </c>
      <c r="O31" s="305" t="e">
        <f t="shared" si="2"/>
        <v>#REF!</v>
      </c>
      <c r="P31" s="313" t="e">
        <f>'Pri Sec_outstanding_6'!#REF!</f>
        <v>#REF!</v>
      </c>
      <c r="Q31" s="313"/>
    </row>
    <row r="32" spans="1:17" ht="15" customHeight="1" x14ac:dyDescent="0.2">
      <c r="A32" s="181">
        <v>27</v>
      </c>
      <c r="B32" s="182" t="s">
        <v>51</v>
      </c>
      <c r="C32" s="132">
        <v>343</v>
      </c>
      <c r="D32" s="132">
        <v>703</v>
      </c>
      <c r="E32" s="132">
        <v>28</v>
      </c>
      <c r="F32" s="132">
        <v>159</v>
      </c>
      <c r="G32" s="132">
        <v>14</v>
      </c>
      <c r="H32" s="132">
        <v>23.7</v>
      </c>
      <c r="I32" s="132">
        <v>676</v>
      </c>
      <c r="J32" s="132">
        <v>1032.54</v>
      </c>
      <c r="K32" s="132">
        <v>71</v>
      </c>
      <c r="L32" s="132">
        <v>36.76</v>
      </c>
      <c r="M32" s="220">
        <f t="shared" si="0"/>
        <v>1132</v>
      </c>
      <c r="N32" s="220">
        <f t="shared" si="1"/>
        <v>1955</v>
      </c>
      <c r="O32" s="305" t="e">
        <f t="shared" si="2"/>
        <v>#REF!</v>
      </c>
      <c r="P32" s="313" t="e">
        <f>'Pri Sec_outstanding_6'!#REF!</f>
        <v>#REF!</v>
      </c>
      <c r="Q32" s="313"/>
    </row>
    <row r="33" spans="1:17" s="316" customFormat="1" ht="15" customHeight="1" x14ac:dyDescent="0.2">
      <c r="A33" s="183"/>
      <c r="B33" s="184" t="s">
        <v>407</v>
      </c>
      <c r="C33" s="189">
        <f>SUM(C6:C32)</f>
        <v>192794</v>
      </c>
      <c r="D33" s="189">
        <f t="shared" ref="D33:N33" si="3">SUM(D6:D32)</f>
        <v>282900.02999999997</v>
      </c>
      <c r="E33" s="189">
        <f t="shared" si="3"/>
        <v>35525</v>
      </c>
      <c r="F33" s="189">
        <f t="shared" si="3"/>
        <v>41055.72</v>
      </c>
      <c r="G33" s="189">
        <f t="shared" si="3"/>
        <v>7724</v>
      </c>
      <c r="H33" s="189">
        <f t="shared" si="3"/>
        <v>11530.11</v>
      </c>
      <c r="I33" s="189">
        <f t="shared" si="3"/>
        <v>132917</v>
      </c>
      <c r="J33" s="189">
        <f t="shared" si="3"/>
        <v>253875.94000000003</v>
      </c>
      <c r="K33" s="189">
        <f t="shared" si="3"/>
        <v>21047</v>
      </c>
      <c r="L33" s="189">
        <f t="shared" si="3"/>
        <v>54313.79</v>
      </c>
      <c r="M33" s="189">
        <f t="shared" si="3"/>
        <v>390007</v>
      </c>
      <c r="N33" s="189">
        <f t="shared" si="3"/>
        <v>643675.59000000008</v>
      </c>
      <c r="O33" s="306" t="e">
        <f t="shared" si="2"/>
        <v>#REF!</v>
      </c>
      <c r="P33" s="315" t="e">
        <f>'Pri Sec_outstanding_6'!#REF!</f>
        <v>#REF!</v>
      </c>
      <c r="Q33" s="315"/>
    </row>
    <row r="34" spans="1:17" ht="15" customHeight="1" x14ac:dyDescent="0.2">
      <c r="A34" s="181">
        <v>28</v>
      </c>
      <c r="B34" s="182" t="s">
        <v>48</v>
      </c>
      <c r="C34" s="132">
        <v>1037</v>
      </c>
      <c r="D34" s="132">
        <v>666.47</v>
      </c>
      <c r="E34" s="132">
        <v>63</v>
      </c>
      <c r="F34" s="132">
        <v>617.22</v>
      </c>
      <c r="G34" s="132">
        <v>2</v>
      </c>
      <c r="H34" s="132">
        <v>6.05</v>
      </c>
      <c r="I34" s="132">
        <v>67</v>
      </c>
      <c r="J34" s="132">
        <v>1738.31</v>
      </c>
      <c r="K34" s="132">
        <v>610</v>
      </c>
      <c r="L34" s="132">
        <v>66.94</v>
      </c>
      <c r="M34" s="220">
        <f t="shared" si="0"/>
        <v>1779</v>
      </c>
      <c r="N34" s="220">
        <f t="shared" si="1"/>
        <v>3094.9900000000002</v>
      </c>
      <c r="O34" s="306" t="e">
        <f t="shared" si="2"/>
        <v>#REF!</v>
      </c>
      <c r="P34" s="313" t="e">
        <f>'Pri Sec_outstanding_6'!#REF!</f>
        <v>#REF!</v>
      </c>
      <c r="Q34" s="313"/>
    </row>
    <row r="35" spans="1:17" ht="15" customHeight="1" x14ac:dyDescent="0.2">
      <c r="A35" s="181">
        <v>29</v>
      </c>
      <c r="B35" s="182" t="s">
        <v>216</v>
      </c>
      <c r="C35" s="132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220">
        <f t="shared" si="0"/>
        <v>0</v>
      </c>
      <c r="N35" s="220">
        <f t="shared" si="1"/>
        <v>0</v>
      </c>
      <c r="O35" s="305" t="e">
        <f t="shared" si="2"/>
        <v>#REF!</v>
      </c>
      <c r="P35" s="313" t="e">
        <f>'Pri Sec_outstanding_6'!#REF!</f>
        <v>#REF!</v>
      </c>
      <c r="Q35" s="313"/>
    </row>
    <row r="36" spans="1:17" ht="15" customHeight="1" x14ac:dyDescent="0.2">
      <c r="A36" s="181">
        <v>30</v>
      </c>
      <c r="B36" s="182" t="s">
        <v>217</v>
      </c>
      <c r="C36" s="132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220">
        <f t="shared" si="0"/>
        <v>0</v>
      </c>
      <c r="N36" s="220">
        <f t="shared" si="1"/>
        <v>0</v>
      </c>
      <c r="O36" s="305" t="e">
        <f t="shared" si="2"/>
        <v>#REF!</v>
      </c>
      <c r="P36" s="313" t="e">
        <f>'Pri Sec_outstanding_6'!#REF!</f>
        <v>#REF!</v>
      </c>
      <c r="Q36" s="313"/>
    </row>
    <row r="37" spans="1:17" ht="15" customHeight="1" x14ac:dyDescent="0.2">
      <c r="A37" s="181">
        <v>31</v>
      </c>
      <c r="B37" s="182" t="s">
        <v>79</v>
      </c>
      <c r="C37" s="132">
        <v>0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220">
        <f t="shared" si="0"/>
        <v>0</v>
      </c>
      <c r="N37" s="220">
        <f t="shared" si="1"/>
        <v>0</v>
      </c>
      <c r="O37" s="305" t="e">
        <f t="shared" si="2"/>
        <v>#REF!</v>
      </c>
      <c r="P37" s="313" t="e">
        <f>'Pri Sec_outstanding_6'!#REF!</f>
        <v>#REF!</v>
      </c>
      <c r="Q37" s="313"/>
    </row>
    <row r="38" spans="1:17" ht="15" customHeight="1" x14ac:dyDescent="0.2">
      <c r="A38" s="181">
        <v>32</v>
      </c>
      <c r="B38" s="182" t="s">
        <v>52</v>
      </c>
      <c r="C38" s="132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220">
        <f t="shared" si="0"/>
        <v>0</v>
      </c>
      <c r="N38" s="220">
        <f t="shared" si="1"/>
        <v>0</v>
      </c>
      <c r="O38" s="305" t="e">
        <f t="shared" si="2"/>
        <v>#REF!</v>
      </c>
      <c r="P38" s="313" t="e">
        <f>'Pri Sec_outstanding_6'!#REF!</f>
        <v>#REF!</v>
      </c>
      <c r="Q38" s="313"/>
    </row>
    <row r="39" spans="1:17" ht="15" customHeight="1" x14ac:dyDescent="0.2">
      <c r="A39" s="181">
        <v>33</v>
      </c>
      <c r="B39" s="182" t="s">
        <v>218</v>
      </c>
      <c r="C39" s="132">
        <v>0</v>
      </c>
      <c r="D39" s="132">
        <v>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220">
        <f t="shared" si="0"/>
        <v>0</v>
      </c>
      <c r="N39" s="220">
        <f t="shared" si="1"/>
        <v>0</v>
      </c>
      <c r="O39" s="305" t="e">
        <f t="shared" si="2"/>
        <v>#REF!</v>
      </c>
      <c r="P39" s="313" t="e">
        <f>'Pri Sec_outstanding_6'!#REF!</f>
        <v>#REF!</v>
      </c>
      <c r="Q39" s="313"/>
    </row>
    <row r="40" spans="1:17" ht="15" customHeight="1" x14ac:dyDescent="0.2">
      <c r="A40" s="181">
        <v>34</v>
      </c>
      <c r="B40" s="182" t="s">
        <v>219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220">
        <f t="shared" si="0"/>
        <v>0</v>
      </c>
      <c r="N40" s="220">
        <f t="shared" si="1"/>
        <v>0</v>
      </c>
      <c r="O40" s="305" t="e">
        <f t="shared" si="2"/>
        <v>#REF!</v>
      </c>
      <c r="P40" s="313" t="e">
        <f>'Pri Sec_outstanding_6'!#REF!</f>
        <v>#REF!</v>
      </c>
      <c r="Q40" s="313"/>
    </row>
    <row r="41" spans="1:17" ht="15" customHeight="1" x14ac:dyDescent="0.2">
      <c r="A41" s="181">
        <v>35</v>
      </c>
      <c r="B41" s="182" t="s">
        <v>220</v>
      </c>
      <c r="C41" s="132">
        <v>3</v>
      </c>
      <c r="D41" s="132">
        <v>0.63</v>
      </c>
      <c r="E41" s="132">
        <v>0</v>
      </c>
      <c r="F41" s="132">
        <v>0</v>
      </c>
      <c r="G41" s="132">
        <v>0</v>
      </c>
      <c r="H41" s="132">
        <v>0</v>
      </c>
      <c r="I41" s="132">
        <v>17</v>
      </c>
      <c r="J41" s="132">
        <v>44.86</v>
      </c>
      <c r="K41" s="132">
        <v>0</v>
      </c>
      <c r="L41" s="132">
        <v>0</v>
      </c>
      <c r="M41" s="220">
        <f t="shared" si="0"/>
        <v>20</v>
      </c>
      <c r="N41" s="220">
        <f t="shared" si="1"/>
        <v>45.49</v>
      </c>
      <c r="O41" s="305" t="e">
        <f t="shared" si="2"/>
        <v>#REF!</v>
      </c>
      <c r="P41" s="313" t="e">
        <f>'Pri Sec_outstanding_6'!#REF!</f>
        <v>#REF!</v>
      </c>
      <c r="Q41" s="313"/>
    </row>
    <row r="42" spans="1:17" ht="15" customHeight="1" x14ac:dyDescent="0.2">
      <c r="A42" s="181">
        <v>36</v>
      </c>
      <c r="B42" s="182" t="s">
        <v>72</v>
      </c>
      <c r="C42" s="132">
        <v>4127</v>
      </c>
      <c r="D42" s="132">
        <v>8015.58</v>
      </c>
      <c r="E42" s="132">
        <v>9</v>
      </c>
      <c r="F42" s="132">
        <v>26.23</v>
      </c>
      <c r="G42" s="132">
        <v>24</v>
      </c>
      <c r="H42" s="132">
        <v>37.840000000000003</v>
      </c>
      <c r="I42" s="132">
        <v>1542</v>
      </c>
      <c r="J42" s="132">
        <v>5161.2</v>
      </c>
      <c r="K42" s="132">
        <v>48</v>
      </c>
      <c r="L42" s="132">
        <v>157</v>
      </c>
      <c r="M42" s="220">
        <f t="shared" si="0"/>
        <v>5750</v>
      </c>
      <c r="N42" s="220">
        <f t="shared" si="1"/>
        <v>13397.849999999999</v>
      </c>
      <c r="O42" s="305" t="e">
        <f t="shared" si="2"/>
        <v>#REF!</v>
      </c>
      <c r="P42" s="313" t="e">
        <f>'Pri Sec_outstanding_6'!#REF!</f>
        <v>#REF!</v>
      </c>
      <c r="Q42" s="313"/>
    </row>
    <row r="43" spans="1:17" ht="15" customHeight="1" x14ac:dyDescent="0.2">
      <c r="A43" s="181">
        <v>37</v>
      </c>
      <c r="B43" s="182" t="s">
        <v>73</v>
      </c>
      <c r="C43" s="132">
        <v>4174</v>
      </c>
      <c r="D43" s="132">
        <v>6411</v>
      </c>
      <c r="E43" s="132">
        <v>283</v>
      </c>
      <c r="F43" s="132">
        <v>738</v>
      </c>
      <c r="G43" s="132">
        <v>2</v>
      </c>
      <c r="H43" s="132">
        <v>3</v>
      </c>
      <c r="I43" s="132">
        <v>1155</v>
      </c>
      <c r="J43" s="132">
        <v>2454</v>
      </c>
      <c r="K43" s="132">
        <v>111</v>
      </c>
      <c r="L43" s="132">
        <v>41</v>
      </c>
      <c r="M43" s="220">
        <f t="shared" si="0"/>
        <v>5725</v>
      </c>
      <c r="N43" s="220">
        <f t="shared" si="1"/>
        <v>9647</v>
      </c>
      <c r="O43" s="305" t="e">
        <f t="shared" si="2"/>
        <v>#REF!</v>
      </c>
      <c r="P43" s="313" t="e">
        <f>'Pri Sec_outstanding_6'!#REF!</f>
        <v>#REF!</v>
      </c>
      <c r="Q43" s="313"/>
    </row>
    <row r="44" spans="1:17" ht="15" customHeight="1" x14ac:dyDescent="0.2">
      <c r="A44" s="181">
        <v>38</v>
      </c>
      <c r="B44" s="182" t="s">
        <v>221</v>
      </c>
      <c r="C44" s="132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220">
        <f t="shared" si="0"/>
        <v>0</v>
      </c>
      <c r="N44" s="220">
        <f t="shared" si="1"/>
        <v>0</v>
      </c>
      <c r="O44" s="305" t="e">
        <f t="shared" si="2"/>
        <v>#REF!</v>
      </c>
      <c r="P44" s="313" t="e">
        <f>'Pri Sec_outstanding_6'!#REF!</f>
        <v>#REF!</v>
      </c>
      <c r="Q44" s="313"/>
    </row>
    <row r="45" spans="1:17" ht="15" customHeight="1" x14ac:dyDescent="0.2">
      <c r="A45" s="181">
        <v>39</v>
      </c>
      <c r="B45" s="182" t="s">
        <v>222</v>
      </c>
      <c r="C45" s="132">
        <v>1991</v>
      </c>
      <c r="D45" s="132">
        <v>533</v>
      </c>
      <c r="E45" s="132">
        <v>0</v>
      </c>
      <c r="F45" s="132">
        <v>0</v>
      </c>
      <c r="G45" s="132">
        <v>0</v>
      </c>
      <c r="H45" s="132">
        <v>0</v>
      </c>
      <c r="I45" s="132">
        <v>2046</v>
      </c>
      <c r="J45" s="132">
        <v>1005</v>
      </c>
      <c r="K45" s="132">
        <v>0</v>
      </c>
      <c r="L45" s="132">
        <v>0</v>
      </c>
      <c r="M45" s="220">
        <f t="shared" si="0"/>
        <v>4037</v>
      </c>
      <c r="N45" s="220">
        <f t="shared" si="1"/>
        <v>1538</v>
      </c>
      <c r="O45" s="305" t="e">
        <f t="shared" si="2"/>
        <v>#REF!</v>
      </c>
      <c r="P45" s="313" t="e">
        <f>'Pri Sec_outstanding_6'!#REF!</f>
        <v>#REF!</v>
      </c>
      <c r="Q45" s="313"/>
    </row>
    <row r="46" spans="1:17" ht="15" customHeight="1" x14ac:dyDescent="0.2">
      <c r="A46" s="181">
        <v>40</v>
      </c>
      <c r="B46" s="182" t="s">
        <v>223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220">
        <f t="shared" si="0"/>
        <v>0</v>
      </c>
      <c r="N46" s="220">
        <f t="shared" si="1"/>
        <v>0</v>
      </c>
      <c r="O46" s="305" t="e">
        <f t="shared" si="2"/>
        <v>#REF!</v>
      </c>
      <c r="P46" s="313" t="e">
        <f>'Pri Sec_outstanding_6'!#REF!</f>
        <v>#REF!</v>
      </c>
      <c r="Q46" s="313"/>
    </row>
    <row r="47" spans="1:17" ht="15" customHeight="1" x14ac:dyDescent="0.2">
      <c r="A47" s="181">
        <v>41</v>
      </c>
      <c r="B47" s="182" t="s">
        <v>224</v>
      </c>
      <c r="C47" s="132">
        <v>0</v>
      </c>
      <c r="D47" s="132">
        <v>0</v>
      </c>
      <c r="E47" s="132">
        <v>3</v>
      </c>
      <c r="F47" s="132">
        <v>105</v>
      </c>
      <c r="G47" s="132">
        <v>0</v>
      </c>
      <c r="H47" s="132">
        <v>0</v>
      </c>
      <c r="I47" s="132">
        <v>7</v>
      </c>
      <c r="J47" s="132">
        <v>544</v>
      </c>
      <c r="K47" s="132">
        <v>6</v>
      </c>
      <c r="L47" s="132">
        <v>13</v>
      </c>
      <c r="M47" s="220">
        <f t="shared" si="0"/>
        <v>16</v>
      </c>
      <c r="N47" s="220">
        <f t="shared" si="1"/>
        <v>662</v>
      </c>
      <c r="O47" s="305" t="e">
        <f t="shared" si="2"/>
        <v>#REF!</v>
      </c>
      <c r="P47" s="313" t="e">
        <f>'Pri Sec_outstanding_6'!#REF!</f>
        <v>#REF!</v>
      </c>
      <c r="Q47" s="313"/>
    </row>
    <row r="48" spans="1:17" ht="15" customHeight="1" x14ac:dyDescent="0.2">
      <c r="A48" s="181">
        <v>42</v>
      </c>
      <c r="B48" s="182" t="s">
        <v>225</v>
      </c>
      <c r="C48" s="132">
        <v>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220">
        <f t="shared" si="0"/>
        <v>0</v>
      </c>
      <c r="N48" s="220">
        <f t="shared" si="1"/>
        <v>0</v>
      </c>
      <c r="O48" s="305" t="e">
        <f t="shared" si="2"/>
        <v>#REF!</v>
      </c>
      <c r="P48" s="313" t="e">
        <f>'Pri Sec_outstanding_6'!#REF!</f>
        <v>#REF!</v>
      </c>
      <c r="Q48" s="313"/>
    </row>
    <row r="49" spans="1:17" ht="15" customHeight="1" x14ac:dyDescent="0.2">
      <c r="A49" s="181">
        <v>43</v>
      </c>
      <c r="B49" s="182" t="s">
        <v>74</v>
      </c>
      <c r="C49" s="132">
        <v>1188</v>
      </c>
      <c r="D49" s="132">
        <v>2828</v>
      </c>
      <c r="E49" s="132">
        <v>10</v>
      </c>
      <c r="F49" s="132">
        <v>29</v>
      </c>
      <c r="G49" s="132">
        <v>0</v>
      </c>
      <c r="H49" s="132">
        <v>0</v>
      </c>
      <c r="I49" s="132">
        <v>44</v>
      </c>
      <c r="J49" s="132">
        <v>1165</v>
      </c>
      <c r="K49" s="132">
        <v>0</v>
      </c>
      <c r="L49" s="132">
        <v>0</v>
      </c>
      <c r="M49" s="220">
        <f t="shared" si="0"/>
        <v>1242</v>
      </c>
      <c r="N49" s="220">
        <f t="shared" si="1"/>
        <v>4022</v>
      </c>
      <c r="O49" s="305" t="e">
        <f t="shared" si="2"/>
        <v>#REF!</v>
      </c>
      <c r="P49" s="313" t="e">
        <f>'Pri Sec_outstanding_6'!#REF!</f>
        <v>#REF!</v>
      </c>
      <c r="Q49" s="313"/>
    </row>
    <row r="50" spans="1:17" ht="15" customHeight="1" x14ac:dyDescent="0.2">
      <c r="A50" s="181">
        <v>44</v>
      </c>
      <c r="B50" s="182" t="s">
        <v>226</v>
      </c>
      <c r="C50" s="132">
        <v>0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7</v>
      </c>
      <c r="L50" s="132">
        <v>24.62</v>
      </c>
      <c r="M50" s="220">
        <f t="shared" si="0"/>
        <v>7</v>
      </c>
      <c r="N50" s="220">
        <f t="shared" si="1"/>
        <v>24.62</v>
      </c>
      <c r="O50" s="305" t="e">
        <f t="shared" si="2"/>
        <v>#REF!</v>
      </c>
      <c r="P50" s="313" t="e">
        <f>'Pri Sec_outstanding_6'!#REF!</f>
        <v>#REF!</v>
      </c>
      <c r="Q50" s="313"/>
    </row>
    <row r="51" spans="1:17" ht="15" customHeight="1" x14ac:dyDescent="0.2">
      <c r="A51" s="181">
        <v>45</v>
      </c>
      <c r="B51" s="182" t="s">
        <v>227</v>
      </c>
      <c r="C51" s="132">
        <v>122</v>
      </c>
      <c r="D51" s="132">
        <v>98.67</v>
      </c>
      <c r="E51" s="132">
        <v>4</v>
      </c>
      <c r="F51" s="132">
        <v>0.3</v>
      </c>
      <c r="G51" s="132">
        <v>10</v>
      </c>
      <c r="H51" s="132">
        <v>0.39</v>
      </c>
      <c r="I51" s="132">
        <v>769</v>
      </c>
      <c r="J51" s="132">
        <v>70.69</v>
      </c>
      <c r="K51" s="132">
        <v>558</v>
      </c>
      <c r="L51" s="132">
        <v>52.85</v>
      </c>
      <c r="M51" s="220">
        <f t="shared" si="0"/>
        <v>1463</v>
      </c>
      <c r="N51" s="220">
        <f t="shared" si="1"/>
        <v>222.9</v>
      </c>
      <c r="O51" s="305" t="e">
        <f t="shared" si="2"/>
        <v>#REF!</v>
      </c>
      <c r="P51" s="313" t="e">
        <f>'Pri Sec_outstanding_6'!#REF!</f>
        <v>#REF!</v>
      </c>
      <c r="Q51" s="313"/>
    </row>
    <row r="52" spans="1:17" ht="15" customHeight="1" x14ac:dyDescent="0.2">
      <c r="A52" s="181">
        <v>46</v>
      </c>
      <c r="B52" s="182" t="s">
        <v>228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220">
        <f t="shared" si="0"/>
        <v>0</v>
      </c>
      <c r="N52" s="220">
        <f t="shared" si="1"/>
        <v>0</v>
      </c>
      <c r="O52" s="306" t="e">
        <f t="shared" si="2"/>
        <v>#REF!</v>
      </c>
      <c r="P52" s="313" t="e">
        <f>'Pri Sec_outstanding_6'!#REF!</f>
        <v>#REF!</v>
      </c>
      <c r="Q52" s="313"/>
    </row>
    <row r="53" spans="1:17" ht="15" customHeight="1" x14ac:dyDescent="0.2">
      <c r="A53" s="181">
        <v>47</v>
      </c>
      <c r="B53" s="182" t="s">
        <v>78</v>
      </c>
      <c r="C53" s="132">
        <v>0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220">
        <f t="shared" si="0"/>
        <v>0</v>
      </c>
      <c r="N53" s="220">
        <f t="shared" si="1"/>
        <v>0</v>
      </c>
      <c r="O53" s="305" t="e">
        <f t="shared" si="2"/>
        <v>#REF!</v>
      </c>
      <c r="P53" s="313" t="e">
        <f>'Pri Sec_outstanding_6'!#REF!</f>
        <v>#REF!</v>
      </c>
      <c r="Q53" s="313"/>
    </row>
    <row r="54" spans="1:17" ht="15" customHeight="1" x14ac:dyDescent="0.2">
      <c r="A54" s="181">
        <v>48</v>
      </c>
      <c r="B54" s="182" t="s">
        <v>229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220">
        <f t="shared" si="0"/>
        <v>0</v>
      </c>
      <c r="N54" s="220">
        <f t="shared" si="1"/>
        <v>0</v>
      </c>
      <c r="O54" s="305" t="e">
        <f t="shared" si="2"/>
        <v>#REF!</v>
      </c>
      <c r="P54" s="313" t="e">
        <f>'Pri Sec_outstanding_6'!#REF!</f>
        <v>#REF!</v>
      </c>
      <c r="Q54" s="313"/>
    </row>
    <row r="55" spans="1:17" ht="15" customHeight="1" x14ac:dyDescent="0.2">
      <c r="A55" s="181">
        <v>49</v>
      </c>
      <c r="B55" s="182" t="s">
        <v>77</v>
      </c>
      <c r="C55" s="132">
        <v>7</v>
      </c>
      <c r="D55" s="132">
        <v>1.65</v>
      </c>
      <c r="E55" s="132">
        <v>0</v>
      </c>
      <c r="F55" s="132">
        <v>0</v>
      </c>
      <c r="G55" s="132">
        <v>0</v>
      </c>
      <c r="H55" s="132">
        <v>0</v>
      </c>
      <c r="I55" s="132">
        <v>4</v>
      </c>
      <c r="J55" s="132">
        <v>347</v>
      </c>
      <c r="K55" s="132">
        <v>0</v>
      </c>
      <c r="L55" s="132">
        <v>0</v>
      </c>
      <c r="M55" s="220">
        <f t="shared" si="0"/>
        <v>11</v>
      </c>
      <c r="N55" s="220">
        <f t="shared" si="1"/>
        <v>348.65</v>
      </c>
      <c r="O55" s="305" t="e">
        <f t="shared" si="2"/>
        <v>#REF!</v>
      </c>
      <c r="P55" s="313" t="e">
        <f>'Pri Sec_outstanding_6'!#REF!</f>
        <v>#REF!</v>
      </c>
      <c r="Q55" s="313"/>
    </row>
    <row r="56" spans="1:17" s="316" customFormat="1" ht="15" customHeight="1" x14ac:dyDescent="0.2">
      <c r="A56" s="183"/>
      <c r="B56" s="184" t="s">
        <v>408</v>
      </c>
      <c r="C56" s="189">
        <f>SUM(C34:C55)</f>
        <v>12649</v>
      </c>
      <c r="D56" s="189">
        <f t="shared" ref="D56:P56" si="4">SUM(D34:D55)</f>
        <v>18555</v>
      </c>
      <c r="E56" s="189">
        <f t="shared" si="4"/>
        <v>372</v>
      </c>
      <c r="F56" s="189">
        <f t="shared" si="4"/>
        <v>1515.75</v>
      </c>
      <c r="G56" s="189">
        <f t="shared" si="4"/>
        <v>38</v>
      </c>
      <c r="H56" s="189">
        <f t="shared" si="4"/>
        <v>47.28</v>
      </c>
      <c r="I56" s="189">
        <f t="shared" si="4"/>
        <v>5651</v>
      </c>
      <c r="J56" s="189">
        <f t="shared" si="4"/>
        <v>12530.06</v>
      </c>
      <c r="K56" s="189">
        <f t="shared" si="4"/>
        <v>1340</v>
      </c>
      <c r="L56" s="189">
        <f t="shared" si="4"/>
        <v>355.41</v>
      </c>
      <c r="M56" s="189">
        <f t="shared" si="4"/>
        <v>20050</v>
      </c>
      <c r="N56" s="189">
        <f t="shared" si="4"/>
        <v>33003.5</v>
      </c>
      <c r="O56" s="189" t="e">
        <f t="shared" si="4"/>
        <v>#REF!</v>
      </c>
      <c r="P56" s="189" t="e">
        <f t="shared" si="4"/>
        <v>#REF!</v>
      </c>
      <c r="Q56" s="315"/>
    </row>
    <row r="57" spans="1:17" ht="15" customHeight="1" x14ac:dyDescent="0.2">
      <c r="A57" s="181">
        <v>50</v>
      </c>
      <c r="B57" s="182" t="s">
        <v>47</v>
      </c>
      <c r="C57" s="132">
        <v>35367</v>
      </c>
      <c r="D57" s="132">
        <v>30139</v>
      </c>
      <c r="E57" s="132">
        <v>338</v>
      </c>
      <c r="F57" s="132">
        <v>810</v>
      </c>
      <c r="G57" s="132">
        <v>110</v>
      </c>
      <c r="H57" s="132">
        <v>242</v>
      </c>
      <c r="I57" s="132">
        <v>17836</v>
      </c>
      <c r="J57" s="132">
        <v>3926</v>
      </c>
      <c r="K57" s="132">
        <v>31093</v>
      </c>
      <c r="L57" s="132">
        <v>10093</v>
      </c>
      <c r="M57" s="220">
        <f t="shared" si="0"/>
        <v>84744</v>
      </c>
      <c r="N57" s="220">
        <f t="shared" si="1"/>
        <v>45210</v>
      </c>
      <c r="O57" s="305" t="e">
        <f t="shared" si="2"/>
        <v>#REF!</v>
      </c>
      <c r="P57" s="313" t="e">
        <f>'Pri Sec_outstanding_6'!#REF!</f>
        <v>#REF!</v>
      </c>
      <c r="Q57" s="313"/>
    </row>
    <row r="58" spans="1:17" ht="15" customHeight="1" x14ac:dyDescent="0.2">
      <c r="A58" s="181">
        <v>51</v>
      </c>
      <c r="B58" s="182" t="s">
        <v>230</v>
      </c>
      <c r="C58" s="132">
        <v>42250</v>
      </c>
      <c r="D58" s="132">
        <v>32994</v>
      </c>
      <c r="E58" s="132">
        <v>11236</v>
      </c>
      <c r="F58" s="132">
        <v>8200</v>
      </c>
      <c r="G58" s="132">
        <v>109</v>
      </c>
      <c r="H58" s="132">
        <v>200</v>
      </c>
      <c r="I58" s="132">
        <v>19742</v>
      </c>
      <c r="J58" s="132">
        <v>8873</v>
      </c>
      <c r="K58" s="132">
        <v>6422</v>
      </c>
      <c r="L58" s="132">
        <v>1873</v>
      </c>
      <c r="M58" s="220">
        <f t="shared" si="0"/>
        <v>79759</v>
      </c>
      <c r="N58" s="220">
        <f t="shared" si="1"/>
        <v>52140</v>
      </c>
      <c r="O58" s="306" t="e">
        <f t="shared" si="2"/>
        <v>#REF!</v>
      </c>
      <c r="P58" s="313" t="e">
        <f>'Pri Sec_outstanding_6'!#REF!</f>
        <v>#REF!</v>
      </c>
      <c r="Q58" s="313"/>
    </row>
    <row r="59" spans="1:17" ht="15" customHeight="1" x14ac:dyDescent="0.2">
      <c r="A59" s="181">
        <v>52</v>
      </c>
      <c r="B59" s="182" t="s">
        <v>53</v>
      </c>
      <c r="C59" s="132">
        <v>15073</v>
      </c>
      <c r="D59" s="132">
        <v>12927.01</v>
      </c>
      <c r="E59" s="132">
        <v>2121</v>
      </c>
      <c r="F59" s="132">
        <v>1636</v>
      </c>
      <c r="G59" s="132">
        <v>19</v>
      </c>
      <c r="H59" s="132">
        <v>39.020000000000003</v>
      </c>
      <c r="I59" s="132">
        <v>4171</v>
      </c>
      <c r="J59" s="132">
        <v>1505</v>
      </c>
      <c r="K59" s="132">
        <v>0</v>
      </c>
      <c r="L59" s="132">
        <v>0</v>
      </c>
      <c r="M59" s="220">
        <f t="shared" si="0"/>
        <v>21384</v>
      </c>
      <c r="N59" s="220">
        <f t="shared" si="1"/>
        <v>16107.03</v>
      </c>
      <c r="O59" s="307" t="e">
        <f t="shared" si="2"/>
        <v>#REF!</v>
      </c>
      <c r="P59" s="313" t="e">
        <f>'Pri Sec_outstanding_6'!#REF!</f>
        <v>#REF!</v>
      </c>
      <c r="Q59" s="313"/>
    </row>
    <row r="60" spans="1:17" s="316" customFormat="1" ht="15" customHeight="1" x14ac:dyDescent="0.2">
      <c r="A60" s="183"/>
      <c r="B60" s="189" t="s">
        <v>422</v>
      </c>
      <c r="C60" s="189">
        <f>SUM(C57:C59)</f>
        <v>92690</v>
      </c>
      <c r="D60" s="189">
        <f t="shared" ref="D60:N60" si="5">SUM(D57:D59)</f>
        <v>76060.009999999995</v>
      </c>
      <c r="E60" s="189">
        <f t="shared" si="5"/>
        <v>13695</v>
      </c>
      <c r="F60" s="189">
        <f t="shared" si="5"/>
        <v>10646</v>
      </c>
      <c r="G60" s="189">
        <f t="shared" si="5"/>
        <v>238</v>
      </c>
      <c r="H60" s="189">
        <f t="shared" si="5"/>
        <v>481.02</v>
      </c>
      <c r="I60" s="189">
        <f t="shared" si="5"/>
        <v>41749</v>
      </c>
      <c r="J60" s="189">
        <f t="shared" si="5"/>
        <v>14304</v>
      </c>
      <c r="K60" s="189">
        <f t="shared" si="5"/>
        <v>37515</v>
      </c>
      <c r="L60" s="189">
        <f t="shared" si="5"/>
        <v>11966</v>
      </c>
      <c r="M60" s="189">
        <f t="shared" si="5"/>
        <v>185887</v>
      </c>
      <c r="N60" s="189">
        <f t="shared" si="5"/>
        <v>113457.03</v>
      </c>
      <c r="O60" s="317"/>
      <c r="P60" s="315"/>
      <c r="Q60" s="315"/>
    </row>
    <row r="61" spans="1:17" ht="15" customHeight="1" x14ac:dyDescent="0.2">
      <c r="A61" s="181">
        <v>53</v>
      </c>
      <c r="B61" s="132" t="s">
        <v>409</v>
      </c>
      <c r="C61" s="132">
        <v>0</v>
      </c>
      <c r="D61" s="132">
        <v>270486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220">
        <f t="shared" si="0"/>
        <v>0</v>
      </c>
      <c r="N61" s="220">
        <f t="shared" si="1"/>
        <v>270486</v>
      </c>
      <c r="O61" s="314"/>
      <c r="P61" s="313"/>
      <c r="Q61" s="313"/>
    </row>
    <row r="62" spans="1:17" s="316" customFormat="1" ht="15" customHeight="1" x14ac:dyDescent="0.2">
      <c r="A62" s="183"/>
      <c r="B62" s="189" t="s">
        <v>410</v>
      </c>
      <c r="C62" s="189">
        <f>C61</f>
        <v>0</v>
      </c>
      <c r="D62" s="189">
        <f t="shared" ref="D62:N62" si="6">D61</f>
        <v>270486</v>
      </c>
      <c r="E62" s="189">
        <f t="shared" si="6"/>
        <v>0</v>
      </c>
      <c r="F62" s="189">
        <f t="shared" si="6"/>
        <v>0</v>
      </c>
      <c r="G62" s="189">
        <f t="shared" si="6"/>
        <v>0</v>
      </c>
      <c r="H62" s="189">
        <f t="shared" si="6"/>
        <v>0</v>
      </c>
      <c r="I62" s="189">
        <f t="shared" si="6"/>
        <v>0</v>
      </c>
      <c r="J62" s="189">
        <f t="shared" si="6"/>
        <v>0</v>
      </c>
      <c r="K62" s="189">
        <f t="shared" si="6"/>
        <v>0</v>
      </c>
      <c r="L62" s="189">
        <f t="shared" si="6"/>
        <v>0</v>
      </c>
      <c r="M62" s="189">
        <f t="shared" si="6"/>
        <v>0</v>
      </c>
      <c r="N62" s="189">
        <f t="shared" si="6"/>
        <v>270486</v>
      </c>
      <c r="O62" s="317"/>
      <c r="P62" s="315"/>
      <c r="Q62" s="315"/>
    </row>
    <row r="63" spans="1:17" s="316" customFormat="1" ht="15" customHeight="1" x14ac:dyDescent="0.2">
      <c r="A63" s="183"/>
      <c r="B63" s="189" t="s">
        <v>411</v>
      </c>
      <c r="C63" s="189">
        <f>C62+C60+C56+C33</f>
        <v>298133</v>
      </c>
      <c r="D63" s="189">
        <f t="shared" ref="D63:N63" si="7">D62+D60+D56+D33</f>
        <v>648001.04</v>
      </c>
      <c r="E63" s="189">
        <f t="shared" si="7"/>
        <v>49592</v>
      </c>
      <c r="F63" s="189">
        <f t="shared" si="7"/>
        <v>53217.47</v>
      </c>
      <c r="G63" s="189">
        <f t="shared" si="7"/>
        <v>8000</v>
      </c>
      <c r="H63" s="189">
        <f t="shared" si="7"/>
        <v>12058.41</v>
      </c>
      <c r="I63" s="189">
        <f t="shared" si="7"/>
        <v>180317</v>
      </c>
      <c r="J63" s="189">
        <f t="shared" si="7"/>
        <v>280710</v>
      </c>
      <c r="K63" s="189">
        <f t="shared" si="7"/>
        <v>59902</v>
      </c>
      <c r="L63" s="189">
        <f t="shared" si="7"/>
        <v>66635.199999999997</v>
      </c>
      <c r="M63" s="189">
        <f t="shared" si="7"/>
        <v>595944</v>
      </c>
      <c r="N63" s="189">
        <f t="shared" si="7"/>
        <v>1060622.1200000001</v>
      </c>
      <c r="O63" s="317"/>
      <c r="P63" s="315"/>
      <c r="Q63" s="315"/>
    </row>
    <row r="64" spans="1:17" ht="15" customHeight="1" x14ac:dyDescent="0.2"/>
  </sheetData>
  <mergeCells count="12">
    <mergeCell ref="A4:A5"/>
    <mergeCell ref="B4:B5"/>
    <mergeCell ref="A1:O1"/>
    <mergeCell ref="A2:O2"/>
    <mergeCell ref="O4:O5"/>
    <mergeCell ref="C4:D4"/>
    <mergeCell ref="E4:F4"/>
    <mergeCell ref="G4:H4"/>
    <mergeCell ref="I4:J4"/>
    <mergeCell ref="M4:N4"/>
    <mergeCell ref="K4:L4"/>
    <mergeCell ref="L3:M3"/>
  </mergeCells>
  <conditionalFormatting sqref="L3">
    <cfRule type="cellIs" dxfId="84" priority="8" operator="lessThan">
      <formula>0</formula>
    </cfRule>
  </conditionalFormatting>
  <conditionalFormatting sqref="B6">
    <cfRule type="duplicateValues" dxfId="83" priority="2"/>
  </conditionalFormatting>
  <conditionalFormatting sqref="B22">
    <cfRule type="duplicateValues" dxfId="82" priority="3"/>
  </conditionalFormatting>
  <conditionalFormatting sqref="B33:B34 B26:B30">
    <cfRule type="duplicateValues" dxfId="81" priority="4"/>
  </conditionalFormatting>
  <conditionalFormatting sqref="B52">
    <cfRule type="duplicateValues" dxfId="80" priority="5"/>
  </conditionalFormatting>
  <conditionalFormatting sqref="B56">
    <cfRule type="duplicateValues" dxfId="79" priority="6"/>
  </conditionalFormatting>
  <conditionalFormatting sqref="B58">
    <cfRule type="duplicateValues" dxfId="78" priority="7"/>
  </conditionalFormatting>
  <conditionalFormatting sqref="O1:O55 O57:O1048576">
    <cfRule type="cellIs" dxfId="77" priority="1" stopIfTrue="1" operator="greaterThan">
      <formula>100</formula>
    </cfRule>
  </conditionalFormatting>
  <pageMargins left="0.45" right="0.2" top="0.25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63"/>
  <sheetViews>
    <sheetView zoomScaleNormal="100" workbookViewId="0">
      <pane xSplit="1" ySplit="5" topLeftCell="B54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R13" sqref="R13"/>
    </sheetView>
  </sheetViews>
  <sheetFormatPr defaultRowHeight="12.75" x14ac:dyDescent="0.2"/>
  <cols>
    <col min="1" max="1" width="4.5703125" style="6" customWidth="1"/>
    <col min="2" max="2" width="29.5703125" style="6" customWidth="1"/>
    <col min="3" max="9" width="9.140625" style="6"/>
    <col min="10" max="10" width="10.42578125" style="6" bestFit="1" customWidth="1"/>
    <col min="11" max="11" width="9.140625" style="6"/>
    <col min="12" max="12" width="10.5703125" style="6" bestFit="1" customWidth="1"/>
    <col min="13" max="14" width="0" style="6" hidden="1" customWidth="1"/>
    <col min="15" max="15" width="0" style="234" hidden="1" customWidth="1"/>
    <col min="16" max="17" width="0" style="6" hidden="1" customWidth="1"/>
    <col min="18" max="16384" width="9.140625" style="6"/>
  </cols>
  <sheetData>
    <row r="1" spans="1:19" ht="15.75" customHeight="1" x14ac:dyDescent="0.2">
      <c r="A1" s="462" t="s">
        <v>486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</row>
    <row r="2" spans="1:19" x14ac:dyDescent="0.2">
      <c r="A2" s="482" t="s">
        <v>172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</row>
    <row r="3" spans="1:19" x14ac:dyDescent="0.2">
      <c r="A3" s="151"/>
      <c r="B3" s="28" t="s">
        <v>12</v>
      </c>
      <c r="C3" s="151"/>
      <c r="D3" s="27"/>
      <c r="E3" s="27"/>
      <c r="F3" s="27"/>
      <c r="G3" s="27"/>
      <c r="H3" s="27"/>
      <c r="I3" s="483" t="s">
        <v>171</v>
      </c>
      <c r="J3" s="483"/>
    </row>
    <row r="4" spans="1:19" ht="15" customHeight="1" x14ac:dyDescent="0.2">
      <c r="A4" s="480" t="s">
        <v>232</v>
      </c>
      <c r="B4" s="480" t="s">
        <v>3</v>
      </c>
      <c r="C4" s="480" t="s">
        <v>24</v>
      </c>
      <c r="D4" s="480"/>
      <c r="E4" s="480" t="s">
        <v>19</v>
      </c>
      <c r="F4" s="480"/>
      <c r="G4" s="480" t="s">
        <v>20</v>
      </c>
      <c r="H4" s="480"/>
      <c r="I4" s="480" t="s">
        <v>54</v>
      </c>
      <c r="J4" s="480"/>
      <c r="K4" s="480" t="s">
        <v>37</v>
      </c>
      <c r="L4" s="480"/>
    </row>
    <row r="5" spans="1:19" ht="15" customHeight="1" x14ac:dyDescent="0.2">
      <c r="A5" s="480"/>
      <c r="B5" s="480"/>
      <c r="C5" s="233" t="s">
        <v>30</v>
      </c>
      <c r="D5" s="233" t="s">
        <v>17</v>
      </c>
      <c r="E5" s="233" t="s">
        <v>30</v>
      </c>
      <c r="F5" s="233" t="s">
        <v>17</v>
      </c>
      <c r="G5" s="233" t="s">
        <v>30</v>
      </c>
      <c r="H5" s="233" t="s">
        <v>17</v>
      </c>
      <c r="I5" s="233" t="s">
        <v>30</v>
      </c>
      <c r="J5" s="233" t="s">
        <v>17</v>
      </c>
      <c r="K5" s="233" t="s">
        <v>30</v>
      </c>
      <c r="L5" s="233" t="s">
        <v>17</v>
      </c>
    </row>
    <row r="6" spans="1:19" ht="15" customHeight="1" x14ac:dyDescent="0.2">
      <c r="A6" s="144">
        <v>1</v>
      </c>
      <c r="B6" s="167" t="s">
        <v>56</v>
      </c>
      <c r="C6" s="191">
        <v>7</v>
      </c>
      <c r="D6" s="191">
        <v>637.54999999999995</v>
      </c>
      <c r="E6" s="191">
        <v>7</v>
      </c>
      <c r="F6" s="191">
        <v>212.53</v>
      </c>
      <c r="G6" s="191">
        <v>0</v>
      </c>
      <c r="H6" s="191">
        <v>0</v>
      </c>
      <c r="I6" s="191">
        <v>1006</v>
      </c>
      <c r="J6" s="191">
        <v>672.28</v>
      </c>
      <c r="K6" s="191">
        <f>C6+E6+G6+I6</f>
        <v>1020</v>
      </c>
      <c r="L6" s="191">
        <f>D6+F6+H6+J6</f>
        <v>1522.36</v>
      </c>
      <c r="M6" s="319">
        <f>NPA_PS_14!N7</f>
        <v>2134.4</v>
      </c>
      <c r="N6" s="319">
        <f t="shared" ref="N6:N58" si="0">L6+M6</f>
        <v>3656.76</v>
      </c>
      <c r="O6" s="320">
        <f>NPA_13!D7</f>
        <v>2134.4</v>
      </c>
      <c r="P6" s="319">
        <f t="shared" ref="P6:P58" si="1">N6-O6</f>
        <v>1522.3600000000001</v>
      </c>
      <c r="Q6" s="319"/>
      <c r="R6" s="319"/>
      <c r="S6" s="319"/>
    </row>
    <row r="7" spans="1:19" ht="15" customHeight="1" x14ac:dyDescent="0.2">
      <c r="A7" s="144">
        <v>2</v>
      </c>
      <c r="B7" s="167" t="s">
        <v>57</v>
      </c>
      <c r="C7" s="191">
        <v>0</v>
      </c>
      <c r="D7" s="191">
        <v>0</v>
      </c>
      <c r="E7" s="191">
        <v>0</v>
      </c>
      <c r="F7" s="191">
        <v>0</v>
      </c>
      <c r="G7" s="191">
        <v>0</v>
      </c>
      <c r="H7" s="191">
        <v>0</v>
      </c>
      <c r="I7" s="191">
        <v>0</v>
      </c>
      <c r="J7" s="191">
        <v>0</v>
      </c>
      <c r="K7" s="191">
        <f t="shared" ref="K7:K61" si="2">C7+E7+G7+I7</f>
        <v>0</v>
      </c>
      <c r="L7" s="191">
        <f t="shared" ref="L7:L61" si="3">D7+F7+H7+J7</f>
        <v>0</v>
      </c>
      <c r="M7" s="319">
        <f>NPA_PS_14!N8</f>
        <v>60479.5</v>
      </c>
      <c r="N7" s="319">
        <f t="shared" si="0"/>
        <v>60479.5</v>
      </c>
      <c r="O7" s="320">
        <f>NPA_13!D8</f>
        <v>87373</v>
      </c>
      <c r="P7" s="319">
        <f t="shared" si="1"/>
        <v>-26893.5</v>
      </c>
      <c r="Q7" s="319"/>
      <c r="R7" s="319"/>
      <c r="S7" s="319"/>
    </row>
    <row r="8" spans="1:19" ht="15" customHeight="1" x14ac:dyDescent="0.2">
      <c r="A8" s="144">
        <v>3</v>
      </c>
      <c r="B8" s="167" t="s">
        <v>58</v>
      </c>
      <c r="C8" s="191">
        <v>35</v>
      </c>
      <c r="D8" s="191">
        <v>6418</v>
      </c>
      <c r="E8" s="191">
        <v>53</v>
      </c>
      <c r="F8" s="191">
        <v>1881</v>
      </c>
      <c r="G8" s="191">
        <v>11</v>
      </c>
      <c r="H8" s="191">
        <v>104</v>
      </c>
      <c r="I8" s="191">
        <v>493</v>
      </c>
      <c r="J8" s="191">
        <v>18490.5</v>
      </c>
      <c r="K8" s="191">
        <f t="shared" si="2"/>
        <v>592</v>
      </c>
      <c r="L8" s="191">
        <f t="shared" si="3"/>
        <v>26893.5</v>
      </c>
      <c r="M8" s="319">
        <f>NPA_PS_14!N9</f>
        <v>56306</v>
      </c>
      <c r="N8" s="319">
        <f t="shared" si="0"/>
        <v>83199.5</v>
      </c>
      <c r="O8" s="320">
        <f>NPA_13!D9</f>
        <v>77106</v>
      </c>
      <c r="P8" s="319">
        <f t="shared" si="1"/>
        <v>6093.5</v>
      </c>
      <c r="Q8" s="319"/>
      <c r="R8" s="319"/>
      <c r="S8" s="319"/>
    </row>
    <row r="9" spans="1:19" ht="15" customHeight="1" x14ac:dyDescent="0.2">
      <c r="A9" s="144">
        <v>4</v>
      </c>
      <c r="B9" s="167" t="s">
        <v>59</v>
      </c>
      <c r="C9" s="191">
        <v>3628</v>
      </c>
      <c r="D9" s="191">
        <v>9480</v>
      </c>
      <c r="E9" s="191">
        <v>867</v>
      </c>
      <c r="F9" s="191">
        <v>2275</v>
      </c>
      <c r="G9" s="191">
        <v>2035</v>
      </c>
      <c r="H9" s="191">
        <v>5072</v>
      </c>
      <c r="I9" s="191">
        <v>1484</v>
      </c>
      <c r="J9" s="191">
        <v>3973</v>
      </c>
      <c r="K9" s="191">
        <f t="shared" si="2"/>
        <v>8014</v>
      </c>
      <c r="L9" s="191">
        <f t="shared" si="3"/>
        <v>20800</v>
      </c>
      <c r="M9" s="319">
        <f>NPA_PS_14!N10</f>
        <v>30705</v>
      </c>
      <c r="N9" s="319">
        <f t="shared" si="0"/>
        <v>51505</v>
      </c>
      <c r="O9" s="320">
        <f>NPA_13!D10</f>
        <v>30705</v>
      </c>
      <c r="P9" s="319">
        <f t="shared" si="1"/>
        <v>20800</v>
      </c>
      <c r="Q9" s="319"/>
      <c r="R9" s="319"/>
      <c r="S9" s="319"/>
    </row>
    <row r="10" spans="1:19" ht="15" customHeight="1" x14ac:dyDescent="0.2">
      <c r="A10" s="144">
        <v>5</v>
      </c>
      <c r="B10" s="169" t="s">
        <v>60</v>
      </c>
      <c r="C10" s="191">
        <v>0</v>
      </c>
      <c r="D10" s="191">
        <v>0</v>
      </c>
      <c r="E10" s="191">
        <v>0</v>
      </c>
      <c r="F10" s="191">
        <v>0</v>
      </c>
      <c r="G10" s="191">
        <v>0</v>
      </c>
      <c r="H10" s="191">
        <v>0</v>
      </c>
      <c r="I10" s="191">
        <v>0</v>
      </c>
      <c r="J10" s="191">
        <v>0</v>
      </c>
      <c r="K10" s="191">
        <f t="shared" si="2"/>
        <v>0</v>
      </c>
      <c r="L10" s="191">
        <f t="shared" si="3"/>
        <v>0</v>
      </c>
      <c r="M10" s="319">
        <f>NPA_PS_14!N11</f>
        <v>0</v>
      </c>
      <c r="N10" s="319">
        <f t="shared" si="0"/>
        <v>0</v>
      </c>
      <c r="O10" s="320">
        <f>NPA_13!D11</f>
        <v>0</v>
      </c>
      <c r="P10" s="319">
        <f t="shared" si="1"/>
        <v>0</v>
      </c>
      <c r="Q10" s="319"/>
      <c r="R10" s="319"/>
      <c r="S10" s="319"/>
    </row>
    <row r="11" spans="1:19" ht="15" customHeight="1" x14ac:dyDescent="0.2">
      <c r="A11" s="144">
        <v>6</v>
      </c>
      <c r="B11" s="167" t="s">
        <v>244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f t="shared" si="2"/>
        <v>0</v>
      </c>
      <c r="L11" s="191">
        <f t="shared" si="3"/>
        <v>0</v>
      </c>
      <c r="M11" s="319">
        <f>NPA_PS_14!N12</f>
        <v>21913</v>
      </c>
      <c r="N11" s="319">
        <f t="shared" si="0"/>
        <v>21913</v>
      </c>
      <c r="O11" s="320">
        <f>NPA_13!D12</f>
        <v>25051</v>
      </c>
      <c r="P11" s="319">
        <f t="shared" si="1"/>
        <v>-3138</v>
      </c>
      <c r="Q11" s="319"/>
      <c r="R11" s="319"/>
      <c r="S11" s="319"/>
    </row>
    <row r="12" spans="1:19" ht="15" customHeight="1" x14ac:dyDescent="0.2">
      <c r="A12" s="144">
        <v>7</v>
      </c>
      <c r="B12" s="167" t="s">
        <v>61</v>
      </c>
      <c r="C12" s="191">
        <v>2</v>
      </c>
      <c r="D12" s="191">
        <v>1450</v>
      </c>
      <c r="E12" s="191">
        <v>14</v>
      </c>
      <c r="F12" s="191">
        <v>480</v>
      </c>
      <c r="G12" s="191">
        <v>50</v>
      </c>
      <c r="H12" s="191">
        <v>200</v>
      </c>
      <c r="I12" s="191">
        <v>1039</v>
      </c>
      <c r="J12" s="191">
        <v>1008</v>
      </c>
      <c r="K12" s="191">
        <f t="shared" si="2"/>
        <v>1105</v>
      </c>
      <c r="L12" s="191">
        <f t="shared" si="3"/>
        <v>3138</v>
      </c>
      <c r="M12" s="319">
        <f>NPA_PS_14!N13</f>
        <v>68932</v>
      </c>
      <c r="N12" s="319">
        <f t="shared" si="0"/>
        <v>72070</v>
      </c>
      <c r="O12" s="320">
        <f>NPA_13!D13</f>
        <v>109757</v>
      </c>
      <c r="P12" s="319">
        <f t="shared" si="1"/>
        <v>-37687</v>
      </c>
      <c r="Q12" s="319"/>
      <c r="R12" s="319"/>
      <c r="S12" s="319"/>
    </row>
    <row r="13" spans="1:19" ht="15" customHeight="1" x14ac:dyDescent="0.2">
      <c r="A13" s="144">
        <v>8</v>
      </c>
      <c r="B13" s="167" t="s">
        <v>62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  <c r="H13" s="191">
        <v>0</v>
      </c>
      <c r="I13" s="191">
        <v>0</v>
      </c>
      <c r="J13" s="191">
        <v>40825</v>
      </c>
      <c r="K13" s="191">
        <f t="shared" si="2"/>
        <v>0</v>
      </c>
      <c r="L13" s="191">
        <f t="shared" si="3"/>
        <v>40825</v>
      </c>
      <c r="M13" s="319">
        <f>NPA_PS_14!N14</f>
        <v>9763</v>
      </c>
      <c r="N13" s="319">
        <f t="shared" si="0"/>
        <v>50588</v>
      </c>
      <c r="O13" s="320">
        <f>NPA_13!D14</f>
        <v>9763</v>
      </c>
      <c r="P13" s="319">
        <f t="shared" si="1"/>
        <v>40825</v>
      </c>
      <c r="Q13" s="319"/>
      <c r="R13" s="319"/>
      <c r="S13" s="319"/>
    </row>
    <row r="14" spans="1:19" ht="15" customHeight="1" x14ac:dyDescent="0.2">
      <c r="A14" s="144">
        <v>9</v>
      </c>
      <c r="B14" s="167" t="s">
        <v>49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f t="shared" si="2"/>
        <v>0</v>
      </c>
      <c r="L14" s="191">
        <f t="shared" si="3"/>
        <v>0</v>
      </c>
      <c r="M14" s="319">
        <f>NPA_PS_14!N15</f>
        <v>8124</v>
      </c>
      <c r="N14" s="319">
        <f t="shared" si="0"/>
        <v>8124</v>
      </c>
      <c r="O14" s="320">
        <f>NPA_13!D15</f>
        <v>12530</v>
      </c>
      <c r="P14" s="319">
        <f t="shared" si="1"/>
        <v>-4406</v>
      </c>
      <c r="Q14" s="319"/>
      <c r="R14" s="319"/>
      <c r="S14" s="319"/>
    </row>
    <row r="15" spans="1:19" ht="15" customHeight="1" x14ac:dyDescent="0.2">
      <c r="A15" s="144">
        <v>10</v>
      </c>
      <c r="B15" s="167" t="s">
        <v>50</v>
      </c>
      <c r="C15" s="191">
        <v>0</v>
      </c>
      <c r="D15" s="191">
        <v>0</v>
      </c>
      <c r="E15" s="191">
        <v>11</v>
      </c>
      <c r="F15" s="191">
        <v>100</v>
      </c>
      <c r="G15" s="191">
        <v>0</v>
      </c>
      <c r="H15" s="191">
        <v>0</v>
      </c>
      <c r="I15" s="191">
        <v>834</v>
      </c>
      <c r="J15" s="191">
        <v>4306</v>
      </c>
      <c r="K15" s="191">
        <f t="shared" si="2"/>
        <v>845</v>
      </c>
      <c r="L15" s="191">
        <f t="shared" si="3"/>
        <v>4406</v>
      </c>
      <c r="M15" s="319">
        <f>NPA_PS_14!N16</f>
        <v>5114</v>
      </c>
      <c r="N15" s="319">
        <f t="shared" si="0"/>
        <v>9520</v>
      </c>
      <c r="O15" s="320">
        <f>NPA_13!D16</f>
        <v>57560</v>
      </c>
      <c r="P15" s="319">
        <f t="shared" si="1"/>
        <v>-48040</v>
      </c>
      <c r="Q15" s="319"/>
      <c r="R15" s="319"/>
      <c r="S15" s="319"/>
    </row>
    <row r="16" spans="1:19" ht="15" customHeight="1" x14ac:dyDescent="0.2">
      <c r="A16" s="144">
        <v>11</v>
      </c>
      <c r="B16" s="167" t="s">
        <v>82</v>
      </c>
      <c r="C16" s="191">
        <v>12</v>
      </c>
      <c r="D16" s="191">
        <v>8107</v>
      </c>
      <c r="E16" s="191">
        <v>78</v>
      </c>
      <c r="F16" s="191">
        <v>1082</v>
      </c>
      <c r="G16" s="191">
        <v>6</v>
      </c>
      <c r="H16" s="191">
        <v>172</v>
      </c>
      <c r="I16" s="191">
        <v>48</v>
      </c>
      <c r="J16" s="191">
        <v>43085</v>
      </c>
      <c r="K16" s="191">
        <f t="shared" si="2"/>
        <v>144</v>
      </c>
      <c r="L16" s="191">
        <f t="shared" si="3"/>
        <v>52446</v>
      </c>
      <c r="M16" s="319">
        <f>NPA_PS_14!N17</f>
        <v>922.45</v>
      </c>
      <c r="N16" s="319">
        <f t="shared" si="0"/>
        <v>53368.45</v>
      </c>
      <c r="O16" s="320">
        <f>NPA_13!D17</f>
        <v>4132.79</v>
      </c>
      <c r="P16" s="319">
        <f t="shared" si="1"/>
        <v>49235.659999999996</v>
      </c>
      <c r="Q16" s="319"/>
      <c r="R16" s="319"/>
      <c r="S16" s="319"/>
    </row>
    <row r="17" spans="1:19" ht="15" customHeight="1" x14ac:dyDescent="0.2">
      <c r="A17" s="144">
        <v>12</v>
      </c>
      <c r="B17" s="167" t="s">
        <v>63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50</v>
      </c>
      <c r="J17" s="191">
        <v>3210.34</v>
      </c>
      <c r="K17" s="191">
        <f t="shared" si="2"/>
        <v>50</v>
      </c>
      <c r="L17" s="191">
        <f t="shared" si="3"/>
        <v>3210.34</v>
      </c>
      <c r="M17" s="319">
        <f>NPA_PS_14!N18</f>
        <v>1471.81</v>
      </c>
      <c r="N17" s="319">
        <f t="shared" si="0"/>
        <v>4682.1499999999996</v>
      </c>
      <c r="O17" s="320">
        <f>NPA_13!D18</f>
        <v>17755.2</v>
      </c>
      <c r="P17" s="319">
        <f t="shared" si="1"/>
        <v>-13073.050000000001</v>
      </c>
      <c r="Q17" s="319"/>
      <c r="R17" s="319"/>
      <c r="S17" s="319"/>
    </row>
    <row r="18" spans="1:19" ht="15" customHeight="1" x14ac:dyDescent="0.2">
      <c r="A18" s="144">
        <v>13</v>
      </c>
      <c r="B18" s="111" t="s">
        <v>64</v>
      </c>
      <c r="C18" s="191">
        <v>4</v>
      </c>
      <c r="D18" s="191">
        <v>16212.83</v>
      </c>
      <c r="E18" s="191">
        <v>0</v>
      </c>
      <c r="F18" s="191">
        <v>0</v>
      </c>
      <c r="G18" s="191">
        <v>0</v>
      </c>
      <c r="H18" s="191">
        <v>0</v>
      </c>
      <c r="I18" s="191">
        <v>50</v>
      </c>
      <c r="J18" s="191">
        <v>70.56</v>
      </c>
      <c r="K18" s="191">
        <f t="shared" si="2"/>
        <v>54</v>
      </c>
      <c r="L18" s="191">
        <f t="shared" si="3"/>
        <v>16283.39</v>
      </c>
      <c r="M18" s="319">
        <f>NPA_PS_14!N19</f>
        <v>10872.09</v>
      </c>
      <c r="N18" s="319">
        <f t="shared" si="0"/>
        <v>27155.48</v>
      </c>
      <c r="O18" s="320">
        <f>NPA_13!D19</f>
        <v>35717.19</v>
      </c>
      <c r="P18" s="319">
        <f t="shared" si="1"/>
        <v>-8561.7100000000028</v>
      </c>
      <c r="Q18" s="319"/>
      <c r="R18" s="319"/>
      <c r="S18" s="319"/>
    </row>
    <row r="19" spans="1:19" ht="15" customHeight="1" x14ac:dyDescent="0.2">
      <c r="A19" s="144">
        <v>14</v>
      </c>
      <c r="B19" s="167" t="s">
        <v>208</v>
      </c>
      <c r="C19" s="191">
        <v>8</v>
      </c>
      <c r="D19" s="191">
        <v>7081.09</v>
      </c>
      <c r="E19" s="191">
        <v>2</v>
      </c>
      <c r="F19" s="191">
        <v>22.82</v>
      </c>
      <c r="G19" s="191">
        <v>0</v>
      </c>
      <c r="H19" s="191">
        <v>0</v>
      </c>
      <c r="I19" s="191">
        <v>237</v>
      </c>
      <c r="J19" s="191">
        <v>17741.189999999999</v>
      </c>
      <c r="K19" s="191">
        <f t="shared" si="2"/>
        <v>247</v>
      </c>
      <c r="L19" s="191">
        <f t="shared" si="3"/>
        <v>24845.1</v>
      </c>
      <c r="M19" s="319">
        <f>NPA_PS_14!N20</f>
        <v>3586.21</v>
      </c>
      <c r="N19" s="319">
        <f t="shared" si="0"/>
        <v>28431.309999999998</v>
      </c>
      <c r="O19" s="320">
        <f>NPA_13!D20</f>
        <v>3673.21</v>
      </c>
      <c r="P19" s="319">
        <f t="shared" si="1"/>
        <v>24758.1</v>
      </c>
      <c r="Q19" s="319"/>
      <c r="R19" s="319"/>
      <c r="S19" s="319"/>
    </row>
    <row r="20" spans="1:19" ht="15" customHeight="1" x14ac:dyDescent="0.2">
      <c r="A20" s="144">
        <v>15</v>
      </c>
      <c r="B20" s="167" t="s">
        <v>209</v>
      </c>
      <c r="C20" s="191">
        <v>0</v>
      </c>
      <c r="D20" s="191">
        <v>0</v>
      </c>
      <c r="E20" s="191">
        <v>45</v>
      </c>
      <c r="F20" s="191">
        <v>56</v>
      </c>
      <c r="G20" s="191">
        <v>0</v>
      </c>
      <c r="H20" s="191">
        <v>0</v>
      </c>
      <c r="I20" s="191">
        <v>505</v>
      </c>
      <c r="J20" s="191">
        <v>31</v>
      </c>
      <c r="K20" s="191">
        <f t="shared" si="2"/>
        <v>550</v>
      </c>
      <c r="L20" s="191">
        <f t="shared" si="3"/>
        <v>87</v>
      </c>
      <c r="M20" s="319">
        <f>NPA_PS_14!N21</f>
        <v>71343</v>
      </c>
      <c r="N20" s="319">
        <f t="shared" si="0"/>
        <v>71430</v>
      </c>
      <c r="O20" s="320">
        <f>NPA_13!D21</f>
        <v>104563</v>
      </c>
      <c r="P20" s="319">
        <f t="shared" si="1"/>
        <v>-33133</v>
      </c>
      <c r="Q20" s="319"/>
      <c r="R20" s="319"/>
      <c r="S20" s="319"/>
    </row>
    <row r="21" spans="1:19" ht="15" customHeight="1" x14ac:dyDescent="0.2">
      <c r="A21" s="144">
        <v>16</v>
      </c>
      <c r="B21" s="112" t="s">
        <v>65</v>
      </c>
      <c r="C21" s="191">
        <v>6</v>
      </c>
      <c r="D21" s="191">
        <v>422</v>
      </c>
      <c r="E21" s="191">
        <v>13</v>
      </c>
      <c r="F21" s="191">
        <v>36</v>
      </c>
      <c r="G21" s="191">
        <v>14</v>
      </c>
      <c r="H21" s="191">
        <v>118</v>
      </c>
      <c r="I21" s="191">
        <v>711</v>
      </c>
      <c r="J21" s="191">
        <v>32644</v>
      </c>
      <c r="K21" s="191">
        <f t="shared" si="2"/>
        <v>744</v>
      </c>
      <c r="L21" s="191">
        <f t="shared" si="3"/>
        <v>33220</v>
      </c>
      <c r="M21" s="319">
        <f>NPA_PS_14!N22</f>
        <v>238.45</v>
      </c>
      <c r="N21" s="319">
        <f t="shared" si="0"/>
        <v>33458.449999999997</v>
      </c>
      <c r="O21" s="320">
        <f>NPA_13!D22</f>
        <v>924.49</v>
      </c>
      <c r="P21" s="319">
        <f t="shared" si="1"/>
        <v>32533.959999999995</v>
      </c>
      <c r="Q21" s="319"/>
      <c r="R21" s="319"/>
      <c r="S21" s="319"/>
    </row>
    <row r="22" spans="1:19" ht="15" customHeight="1" x14ac:dyDescent="0.2">
      <c r="A22" s="144">
        <v>17</v>
      </c>
      <c r="B22" s="107" t="s">
        <v>70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11</v>
      </c>
      <c r="J22" s="191">
        <v>686.04</v>
      </c>
      <c r="K22" s="191">
        <f t="shared" si="2"/>
        <v>11</v>
      </c>
      <c r="L22" s="191">
        <f t="shared" si="3"/>
        <v>686.04</v>
      </c>
      <c r="M22" s="319">
        <f>NPA_PS_14!N23</f>
        <v>0</v>
      </c>
      <c r="N22" s="319">
        <f t="shared" si="0"/>
        <v>686.04</v>
      </c>
      <c r="O22" s="320">
        <f>NPA_13!D23</f>
        <v>0</v>
      </c>
      <c r="P22" s="319">
        <f t="shared" si="1"/>
        <v>686.04</v>
      </c>
      <c r="Q22" s="319"/>
      <c r="R22" s="319"/>
      <c r="S22" s="319"/>
    </row>
    <row r="23" spans="1:19" ht="15" customHeight="1" x14ac:dyDescent="0.2">
      <c r="A23" s="144">
        <v>18</v>
      </c>
      <c r="B23" s="113" t="s">
        <v>210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f t="shared" si="2"/>
        <v>0</v>
      </c>
      <c r="L23" s="191">
        <f t="shared" si="3"/>
        <v>0</v>
      </c>
      <c r="M23" s="319">
        <f>NPA_PS_14!N24</f>
        <v>132.55000000000001</v>
      </c>
      <c r="N23" s="319">
        <f t="shared" si="0"/>
        <v>132.55000000000001</v>
      </c>
      <c r="O23" s="320">
        <f>NPA_13!D24</f>
        <v>395.15000000000003</v>
      </c>
      <c r="P23" s="319">
        <f t="shared" si="1"/>
        <v>-262.60000000000002</v>
      </c>
      <c r="Q23" s="319"/>
      <c r="R23" s="319"/>
      <c r="S23" s="319"/>
    </row>
    <row r="24" spans="1:19" ht="15" customHeight="1" x14ac:dyDescent="0.2">
      <c r="A24" s="144">
        <v>19</v>
      </c>
      <c r="B24" s="167" t="s">
        <v>211</v>
      </c>
      <c r="C24" s="191">
        <v>53</v>
      </c>
      <c r="D24" s="191">
        <v>147.6</v>
      </c>
      <c r="E24" s="191">
        <v>10</v>
      </c>
      <c r="F24" s="191">
        <v>35</v>
      </c>
      <c r="G24" s="191">
        <v>1</v>
      </c>
      <c r="H24" s="191">
        <v>1</v>
      </c>
      <c r="I24" s="191">
        <v>76</v>
      </c>
      <c r="J24" s="191">
        <v>79</v>
      </c>
      <c r="K24" s="191">
        <f t="shared" si="2"/>
        <v>140</v>
      </c>
      <c r="L24" s="191">
        <f t="shared" si="3"/>
        <v>262.60000000000002</v>
      </c>
      <c r="M24" s="319">
        <f>NPA_PS_14!N25</f>
        <v>2661</v>
      </c>
      <c r="N24" s="319">
        <f t="shared" si="0"/>
        <v>2923.6</v>
      </c>
      <c r="O24" s="320">
        <f>NPA_13!D25</f>
        <v>2661</v>
      </c>
      <c r="P24" s="319">
        <f t="shared" si="1"/>
        <v>262.59999999999991</v>
      </c>
      <c r="Q24" s="319"/>
      <c r="R24" s="319"/>
      <c r="S24" s="319"/>
    </row>
    <row r="25" spans="1:19" ht="15" customHeight="1" x14ac:dyDescent="0.2">
      <c r="A25" s="144">
        <v>20</v>
      </c>
      <c r="B25" s="167" t="s">
        <v>212</v>
      </c>
      <c r="C25" s="191">
        <v>0</v>
      </c>
      <c r="D25" s="191">
        <v>0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f t="shared" si="2"/>
        <v>0</v>
      </c>
      <c r="L25" s="191">
        <f t="shared" si="3"/>
        <v>0</v>
      </c>
      <c r="M25" s="319">
        <f>NPA_PS_14!N26</f>
        <v>0</v>
      </c>
      <c r="N25" s="319">
        <f t="shared" si="0"/>
        <v>0</v>
      </c>
      <c r="O25" s="320">
        <f>NPA_13!D26</f>
        <v>0</v>
      </c>
      <c r="P25" s="319">
        <f t="shared" si="1"/>
        <v>0</v>
      </c>
      <c r="Q25" s="319"/>
      <c r="R25" s="319"/>
      <c r="S25" s="319"/>
    </row>
    <row r="26" spans="1:19" ht="15" customHeight="1" x14ac:dyDescent="0.2">
      <c r="A26" s="144">
        <v>21</v>
      </c>
      <c r="B26" s="167" t="s">
        <v>213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f t="shared" si="2"/>
        <v>0</v>
      </c>
      <c r="L26" s="191">
        <f t="shared" si="3"/>
        <v>0</v>
      </c>
      <c r="M26" s="319">
        <f>NPA_PS_14!N27</f>
        <v>114763</v>
      </c>
      <c r="N26" s="319">
        <f t="shared" si="0"/>
        <v>114763</v>
      </c>
      <c r="O26" s="320">
        <f>NPA_13!D27</f>
        <v>119490</v>
      </c>
      <c r="P26" s="319">
        <f t="shared" si="1"/>
        <v>-4727</v>
      </c>
      <c r="Q26" s="319"/>
      <c r="R26" s="319"/>
      <c r="S26" s="319"/>
    </row>
    <row r="27" spans="1:19" ht="15" customHeight="1" x14ac:dyDescent="0.2">
      <c r="A27" s="144">
        <v>22</v>
      </c>
      <c r="B27" s="167" t="s">
        <v>71</v>
      </c>
      <c r="C27" s="191">
        <v>2132</v>
      </c>
      <c r="D27" s="191">
        <v>2797</v>
      </c>
      <c r="E27" s="191">
        <v>201</v>
      </c>
      <c r="F27" s="191">
        <v>230</v>
      </c>
      <c r="G27" s="191">
        <v>4</v>
      </c>
      <c r="H27" s="191">
        <v>24</v>
      </c>
      <c r="I27" s="191">
        <v>1881</v>
      </c>
      <c r="J27" s="191">
        <v>1676</v>
      </c>
      <c r="K27" s="191">
        <f t="shared" si="2"/>
        <v>4218</v>
      </c>
      <c r="L27" s="191">
        <f t="shared" si="3"/>
        <v>4727</v>
      </c>
      <c r="M27" s="319">
        <f>NPA_PS_14!N28</f>
        <v>8188</v>
      </c>
      <c r="N27" s="319">
        <f t="shared" si="0"/>
        <v>12915</v>
      </c>
      <c r="O27" s="320">
        <f>NPA_13!D28</f>
        <v>20497</v>
      </c>
      <c r="P27" s="319">
        <f t="shared" si="1"/>
        <v>-7582</v>
      </c>
      <c r="Q27" s="319"/>
      <c r="R27" s="319"/>
      <c r="S27" s="319"/>
    </row>
    <row r="28" spans="1:19" ht="15" customHeight="1" x14ac:dyDescent="0.2">
      <c r="A28" s="144">
        <v>23</v>
      </c>
      <c r="B28" s="167" t="s">
        <v>66</v>
      </c>
      <c r="C28" s="191">
        <v>4</v>
      </c>
      <c r="D28" s="191">
        <v>3958</v>
      </c>
      <c r="E28" s="191">
        <v>6</v>
      </c>
      <c r="F28" s="191">
        <v>285</v>
      </c>
      <c r="G28" s="191">
        <v>0</v>
      </c>
      <c r="H28" s="191">
        <v>0</v>
      </c>
      <c r="I28" s="191">
        <v>1815</v>
      </c>
      <c r="J28" s="191">
        <v>8066</v>
      </c>
      <c r="K28" s="191">
        <f t="shared" si="2"/>
        <v>1825</v>
      </c>
      <c r="L28" s="191">
        <f t="shared" si="3"/>
        <v>12309</v>
      </c>
      <c r="M28" s="319">
        <f>NPA_PS_14!N29</f>
        <v>61017.04</v>
      </c>
      <c r="N28" s="319">
        <f t="shared" si="0"/>
        <v>73326.040000000008</v>
      </c>
      <c r="O28" s="320">
        <f>NPA_13!D29</f>
        <v>72819.03</v>
      </c>
      <c r="P28" s="319">
        <f t="shared" si="1"/>
        <v>507.01000000000931</v>
      </c>
      <c r="Q28" s="319"/>
      <c r="R28" s="319"/>
      <c r="S28" s="319"/>
    </row>
    <row r="29" spans="1:19" ht="15" customHeight="1" x14ac:dyDescent="0.2">
      <c r="A29" s="144">
        <v>24</v>
      </c>
      <c r="B29" s="167" t="s">
        <v>214</v>
      </c>
      <c r="C29" s="191">
        <v>82</v>
      </c>
      <c r="D29" s="191">
        <v>11228</v>
      </c>
      <c r="E29" s="191">
        <v>7</v>
      </c>
      <c r="F29" s="191">
        <v>13.55</v>
      </c>
      <c r="G29" s="191">
        <v>0</v>
      </c>
      <c r="H29" s="191">
        <v>0</v>
      </c>
      <c r="I29" s="191">
        <v>341</v>
      </c>
      <c r="J29" s="191">
        <v>560.44000000000005</v>
      </c>
      <c r="K29" s="191">
        <f t="shared" si="2"/>
        <v>430</v>
      </c>
      <c r="L29" s="191">
        <f t="shared" si="3"/>
        <v>11801.99</v>
      </c>
      <c r="M29" s="319">
        <f>NPA_PS_14!N30</f>
        <v>50316.89</v>
      </c>
      <c r="N29" s="319">
        <f t="shared" si="0"/>
        <v>62118.879999999997</v>
      </c>
      <c r="O29" s="320">
        <f>NPA_13!D30</f>
        <v>67928</v>
      </c>
      <c r="P29" s="319">
        <f t="shared" si="1"/>
        <v>-5809.1200000000026</v>
      </c>
      <c r="Q29" s="319"/>
      <c r="R29" s="319"/>
      <c r="S29" s="319"/>
    </row>
    <row r="30" spans="1:19" ht="15" customHeight="1" x14ac:dyDescent="0.2">
      <c r="A30" s="144">
        <v>25</v>
      </c>
      <c r="B30" s="169" t="s">
        <v>67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34</v>
      </c>
      <c r="J30" s="191">
        <v>17611.11</v>
      </c>
      <c r="K30" s="191">
        <f t="shared" si="2"/>
        <v>34</v>
      </c>
      <c r="L30" s="191">
        <f t="shared" si="3"/>
        <v>17611.11</v>
      </c>
      <c r="M30" s="319">
        <f>NPA_PS_14!N31</f>
        <v>993</v>
      </c>
      <c r="N30" s="319">
        <f t="shared" si="0"/>
        <v>18604.11</v>
      </c>
      <c r="O30" s="320">
        <f>NPA_13!D31</f>
        <v>8386</v>
      </c>
      <c r="P30" s="319">
        <f t="shared" si="1"/>
        <v>10218.11</v>
      </c>
      <c r="Q30" s="319"/>
      <c r="R30" s="319"/>
      <c r="S30" s="319"/>
    </row>
    <row r="31" spans="1:19" ht="15" customHeight="1" x14ac:dyDescent="0.2">
      <c r="A31" s="144">
        <v>26</v>
      </c>
      <c r="B31" s="167" t="s">
        <v>68</v>
      </c>
      <c r="C31" s="191">
        <v>2</v>
      </c>
      <c r="D31" s="191">
        <v>7144</v>
      </c>
      <c r="E31" s="191">
        <v>3</v>
      </c>
      <c r="F31" s="191">
        <v>89</v>
      </c>
      <c r="G31" s="191">
        <v>0</v>
      </c>
      <c r="H31" s="191">
        <v>0</v>
      </c>
      <c r="I31" s="191">
        <v>8</v>
      </c>
      <c r="J31" s="191">
        <v>160</v>
      </c>
      <c r="K31" s="191">
        <f t="shared" si="2"/>
        <v>13</v>
      </c>
      <c r="L31" s="191">
        <f t="shared" si="3"/>
        <v>7393</v>
      </c>
      <c r="M31" s="319">
        <f>NPA_PS_14!N32</f>
        <v>1955</v>
      </c>
      <c r="N31" s="319">
        <f t="shared" si="0"/>
        <v>9348</v>
      </c>
      <c r="O31" s="320">
        <f>NPA_13!D32</f>
        <v>3023</v>
      </c>
      <c r="P31" s="319">
        <f t="shared" si="1"/>
        <v>6325</v>
      </c>
      <c r="Q31" s="319"/>
      <c r="R31" s="319"/>
      <c r="S31" s="319"/>
    </row>
    <row r="32" spans="1:19" ht="15" customHeight="1" x14ac:dyDescent="0.2">
      <c r="A32" s="144">
        <v>27</v>
      </c>
      <c r="B32" s="167" t="s">
        <v>51</v>
      </c>
      <c r="C32" s="191">
        <v>4</v>
      </c>
      <c r="D32" s="191">
        <v>987</v>
      </c>
      <c r="E32" s="191">
        <v>2</v>
      </c>
      <c r="F32" s="191">
        <v>5.16</v>
      </c>
      <c r="G32" s="191">
        <v>0</v>
      </c>
      <c r="H32" s="191">
        <v>0</v>
      </c>
      <c r="I32" s="191">
        <v>67</v>
      </c>
      <c r="J32" s="191">
        <v>75.84</v>
      </c>
      <c r="K32" s="191">
        <f t="shared" si="2"/>
        <v>73</v>
      </c>
      <c r="L32" s="191">
        <f t="shared" si="3"/>
        <v>1068</v>
      </c>
      <c r="M32" s="319">
        <f>NPA_PS_14!N33</f>
        <v>643675.59000000008</v>
      </c>
      <c r="N32" s="319">
        <f t="shared" si="0"/>
        <v>644743.59000000008</v>
      </c>
      <c r="O32" s="320">
        <f>NPA_13!D33</f>
        <v>927211.02</v>
      </c>
      <c r="P32" s="319">
        <f t="shared" si="1"/>
        <v>-282467.42999999993</v>
      </c>
      <c r="Q32" s="319"/>
      <c r="R32" s="319"/>
      <c r="S32" s="319"/>
    </row>
    <row r="33" spans="1:19" s="318" customFormat="1" ht="15" customHeight="1" x14ac:dyDescent="0.2">
      <c r="A33" s="144"/>
      <c r="B33" s="170" t="s">
        <v>407</v>
      </c>
      <c r="C33" s="193">
        <f>SUM(C6:C32)</f>
        <v>5979</v>
      </c>
      <c r="D33" s="193">
        <f t="shared" ref="D33:Q33" si="4">SUM(D6:D32)</f>
        <v>76070.070000000007</v>
      </c>
      <c r="E33" s="193">
        <f t="shared" si="4"/>
        <v>1319</v>
      </c>
      <c r="F33" s="193">
        <f t="shared" si="4"/>
        <v>6803.06</v>
      </c>
      <c r="G33" s="193">
        <f t="shared" si="4"/>
        <v>2121</v>
      </c>
      <c r="H33" s="193">
        <f t="shared" si="4"/>
        <v>5691</v>
      </c>
      <c r="I33" s="193">
        <f t="shared" si="4"/>
        <v>10690</v>
      </c>
      <c r="J33" s="193">
        <f t="shared" si="4"/>
        <v>194971.30000000002</v>
      </c>
      <c r="K33" s="193">
        <f t="shared" si="4"/>
        <v>20109</v>
      </c>
      <c r="L33" s="193">
        <f t="shared" si="4"/>
        <v>283535.43</v>
      </c>
      <c r="M33" s="193">
        <f t="shared" si="4"/>
        <v>1235606.9800000002</v>
      </c>
      <c r="N33" s="193">
        <f t="shared" si="4"/>
        <v>1519142.4100000001</v>
      </c>
      <c r="O33" s="193">
        <f t="shared" si="4"/>
        <v>1801155.48</v>
      </c>
      <c r="P33" s="193">
        <f t="shared" si="4"/>
        <v>-282013.06999999995</v>
      </c>
      <c r="Q33" s="193">
        <f t="shared" si="4"/>
        <v>0</v>
      </c>
      <c r="R33" s="321"/>
      <c r="S33" s="321"/>
    </row>
    <row r="34" spans="1:19" ht="15" customHeight="1" x14ac:dyDescent="0.2">
      <c r="A34" s="144">
        <v>28</v>
      </c>
      <c r="B34" s="167" t="s">
        <v>48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  <c r="H34" s="191">
        <v>0</v>
      </c>
      <c r="I34" s="191">
        <v>658</v>
      </c>
      <c r="J34" s="191">
        <v>3003.17</v>
      </c>
      <c r="K34" s="191">
        <f t="shared" si="2"/>
        <v>658</v>
      </c>
      <c r="L34" s="191">
        <f t="shared" si="3"/>
        <v>3003.17</v>
      </c>
      <c r="M34" s="319">
        <f>NPA_PS_14!N35</f>
        <v>0</v>
      </c>
      <c r="N34" s="319">
        <f t="shared" si="0"/>
        <v>3003.17</v>
      </c>
      <c r="O34" s="320">
        <f>NPA_13!D35</f>
        <v>0</v>
      </c>
      <c r="P34" s="319">
        <f t="shared" si="1"/>
        <v>3003.17</v>
      </c>
      <c r="Q34" s="319"/>
      <c r="R34" s="319"/>
      <c r="S34" s="319"/>
    </row>
    <row r="35" spans="1:19" ht="15" customHeight="1" x14ac:dyDescent="0.2">
      <c r="A35" s="144">
        <v>29</v>
      </c>
      <c r="B35" s="145" t="s">
        <v>216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f t="shared" si="2"/>
        <v>0</v>
      </c>
      <c r="L35" s="191">
        <f t="shared" si="3"/>
        <v>0</v>
      </c>
      <c r="M35" s="319">
        <f>NPA_PS_14!N36</f>
        <v>0</v>
      </c>
      <c r="N35" s="319">
        <f t="shared" si="0"/>
        <v>0</v>
      </c>
      <c r="O35" s="320">
        <f>NPA_13!D36</f>
        <v>0</v>
      </c>
      <c r="P35" s="319">
        <f t="shared" si="1"/>
        <v>0</v>
      </c>
      <c r="Q35" s="319"/>
      <c r="R35" s="319"/>
      <c r="S35" s="319"/>
    </row>
    <row r="36" spans="1:19" ht="15" customHeight="1" x14ac:dyDescent="0.2">
      <c r="A36" s="144">
        <v>30</v>
      </c>
      <c r="B36" s="145" t="s">
        <v>217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f t="shared" si="2"/>
        <v>0</v>
      </c>
      <c r="L36" s="191">
        <f t="shared" si="3"/>
        <v>0</v>
      </c>
      <c r="M36" s="319">
        <f>NPA_PS_14!N37</f>
        <v>0</v>
      </c>
      <c r="N36" s="319">
        <f t="shared" si="0"/>
        <v>0</v>
      </c>
      <c r="O36" s="320">
        <f>NPA_13!D37</f>
        <v>0</v>
      </c>
      <c r="P36" s="319">
        <f t="shared" si="1"/>
        <v>0</v>
      </c>
      <c r="Q36" s="319"/>
      <c r="R36" s="319"/>
      <c r="S36" s="319"/>
    </row>
    <row r="37" spans="1:19" ht="15" customHeight="1" x14ac:dyDescent="0.2">
      <c r="A37" s="144">
        <v>31</v>
      </c>
      <c r="B37" s="167" t="s">
        <v>79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f t="shared" si="2"/>
        <v>0</v>
      </c>
      <c r="L37" s="191">
        <f t="shared" si="3"/>
        <v>0</v>
      </c>
      <c r="M37" s="319">
        <f>NPA_PS_14!N38</f>
        <v>0</v>
      </c>
      <c r="N37" s="319">
        <f t="shared" si="0"/>
        <v>0</v>
      </c>
      <c r="O37" s="320">
        <f>NPA_13!D38</f>
        <v>0</v>
      </c>
      <c r="P37" s="319">
        <f t="shared" si="1"/>
        <v>0</v>
      </c>
      <c r="Q37" s="319"/>
      <c r="R37" s="319"/>
      <c r="S37" s="319"/>
    </row>
    <row r="38" spans="1:19" ht="15" customHeight="1" x14ac:dyDescent="0.2">
      <c r="A38" s="144">
        <v>32</v>
      </c>
      <c r="B38" s="167" t="s">
        <v>52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f t="shared" si="2"/>
        <v>0</v>
      </c>
      <c r="L38" s="191">
        <f t="shared" si="3"/>
        <v>0</v>
      </c>
      <c r="M38" s="319">
        <f>NPA_PS_14!N39</f>
        <v>0</v>
      </c>
      <c r="N38" s="319">
        <f t="shared" si="0"/>
        <v>0</v>
      </c>
      <c r="O38" s="320">
        <f>NPA_13!D39</f>
        <v>0</v>
      </c>
      <c r="P38" s="319">
        <f t="shared" si="1"/>
        <v>0</v>
      </c>
      <c r="Q38" s="319"/>
      <c r="R38" s="319"/>
      <c r="S38" s="319"/>
    </row>
    <row r="39" spans="1:19" ht="15" customHeight="1" x14ac:dyDescent="0.2">
      <c r="A39" s="144">
        <v>33</v>
      </c>
      <c r="B39" s="167" t="s">
        <v>218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f t="shared" si="2"/>
        <v>0</v>
      </c>
      <c r="L39" s="191">
        <f t="shared" si="3"/>
        <v>0</v>
      </c>
      <c r="M39" s="319">
        <f>NPA_PS_14!N40</f>
        <v>0</v>
      </c>
      <c r="N39" s="319">
        <f t="shared" si="0"/>
        <v>0</v>
      </c>
      <c r="O39" s="320">
        <f>NPA_13!D40</f>
        <v>0</v>
      </c>
      <c r="P39" s="319">
        <f t="shared" si="1"/>
        <v>0</v>
      </c>
      <c r="Q39" s="319"/>
      <c r="R39" s="319"/>
      <c r="S39" s="319"/>
    </row>
    <row r="40" spans="1:19" ht="15" customHeight="1" x14ac:dyDescent="0.2">
      <c r="A40" s="144">
        <v>34</v>
      </c>
      <c r="B40" s="167" t="s">
        <v>219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f t="shared" si="2"/>
        <v>0</v>
      </c>
      <c r="L40" s="191">
        <f t="shared" si="3"/>
        <v>0</v>
      </c>
      <c r="M40" s="319">
        <f>NPA_PS_14!N41</f>
        <v>45.49</v>
      </c>
      <c r="N40" s="319">
        <f t="shared" si="0"/>
        <v>45.49</v>
      </c>
      <c r="O40" s="320">
        <f>NPA_13!D41</f>
        <v>1170.77</v>
      </c>
      <c r="P40" s="319">
        <f t="shared" si="1"/>
        <v>-1125.28</v>
      </c>
      <c r="Q40" s="319"/>
      <c r="R40" s="319"/>
      <c r="S40" s="319"/>
    </row>
    <row r="41" spans="1:19" ht="15" customHeight="1" x14ac:dyDescent="0.2">
      <c r="A41" s="144">
        <v>35</v>
      </c>
      <c r="B41" s="167" t="s">
        <v>220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  <c r="H41" s="191">
        <v>0</v>
      </c>
      <c r="I41" s="191">
        <v>8</v>
      </c>
      <c r="J41" s="191">
        <v>1125.28</v>
      </c>
      <c r="K41" s="191">
        <f t="shared" si="2"/>
        <v>8</v>
      </c>
      <c r="L41" s="191">
        <f t="shared" si="3"/>
        <v>1125.28</v>
      </c>
      <c r="M41" s="319">
        <f>NPA_PS_14!N42</f>
        <v>13397.849999999999</v>
      </c>
      <c r="N41" s="319">
        <f t="shared" si="0"/>
        <v>14523.13</v>
      </c>
      <c r="O41" s="320">
        <f>NPA_13!D42</f>
        <v>22010.79</v>
      </c>
      <c r="P41" s="319">
        <f t="shared" si="1"/>
        <v>-7487.6600000000017</v>
      </c>
      <c r="Q41" s="319"/>
      <c r="R41" s="319"/>
      <c r="S41" s="319"/>
    </row>
    <row r="42" spans="1:19" ht="15" customHeight="1" x14ac:dyDescent="0.2">
      <c r="A42" s="144">
        <v>36</v>
      </c>
      <c r="B42" s="167" t="s">
        <v>72</v>
      </c>
      <c r="C42" s="191">
        <v>0</v>
      </c>
      <c r="D42" s="191">
        <v>0</v>
      </c>
      <c r="E42" s="191">
        <v>0</v>
      </c>
      <c r="F42" s="191">
        <v>0</v>
      </c>
      <c r="G42" s="191">
        <v>0</v>
      </c>
      <c r="H42" s="191">
        <v>0</v>
      </c>
      <c r="I42" s="191">
        <v>4300</v>
      </c>
      <c r="J42" s="191">
        <v>8612.94</v>
      </c>
      <c r="K42" s="191">
        <f t="shared" si="2"/>
        <v>4300</v>
      </c>
      <c r="L42" s="191">
        <f t="shared" si="3"/>
        <v>8612.94</v>
      </c>
      <c r="M42" s="319">
        <f>NPA_PS_14!N43</f>
        <v>9647</v>
      </c>
      <c r="N42" s="319">
        <f t="shared" si="0"/>
        <v>18259.940000000002</v>
      </c>
      <c r="O42" s="320">
        <f>NPA_13!D43</f>
        <v>14867</v>
      </c>
      <c r="P42" s="319">
        <f t="shared" si="1"/>
        <v>3392.9400000000023</v>
      </c>
      <c r="Q42" s="319"/>
      <c r="R42" s="319"/>
      <c r="S42" s="319"/>
    </row>
    <row r="43" spans="1:19" ht="15" customHeight="1" x14ac:dyDescent="0.2">
      <c r="A43" s="144">
        <v>37</v>
      </c>
      <c r="B43" s="167" t="s">
        <v>73</v>
      </c>
      <c r="C43" s="191">
        <v>4</v>
      </c>
      <c r="D43" s="191">
        <v>967</v>
      </c>
      <c r="E43" s="191">
        <v>0</v>
      </c>
      <c r="F43" s="191">
        <v>0</v>
      </c>
      <c r="G43" s="191">
        <v>0</v>
      </c>
      <c r="H43" s="191">
        <v>0</v>
      </c>
      <c r="I43" s="191">
        <v>2700</v>
      </c>
      <c r="J43" s="191">
        <v>4253</v>
      </c>
      <c r="K43" s="191">
        <f t="shared" si="2"/>
        <v>2704</v>
      </c>
      <c r="L43" s="191">
        <f t="shared" si="3"/>
        <v>5220</v>
      </c>
      <c r="M43" s="319">
        <f>NPA_PS_14!N44</f>
        <v>0</v>
      </c>
      <c r="N43" s="319">
        <f t="shared" si="0"/>
        <v>5220</v>
      </c>
      <c r="O43" s="320">
        <f>NPA_13!D44</f>
        <v>0</v>
      </c>
      <c r="P43" s="319">
        <f t="shared" si="1"/>
        <v>5220</v>
      </c>
      <c r="Q43" s="319"/>
      <c r="R43" s="319"/>
      <c r="S43" s="319"/>
    </row>
    <row r="44" spans="1:19" ht="15" customHeight="1" x14ac:dyDescent="0.2">
      <c r="A44" s="144">
        <v>38</v>
      </c>
      <c r="B44" s="167" t="s">
        <v>221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f t="shared" si="2"/>
        <v>0</v>
      </c>
      <c r="L44" s="191">
        <f t="shared" si="3"/>
        <v>0</v>
      </c>
      <c r="M44" s="319">
        <f>NPA_PS_14!N45</f>
        <v>1538</v>
      </c>
      <c r="N44" s="319">
        <f t="shared" si="0"/>
        <v>1538</v>
      </c>
      <c r="O44" s="320">
        <f>NPA_13!D45</f>
        <v>2139</v>
      </c>
      <c r="P44" s="319">
        <f t="shared" si="1"/>
        <v>-601</v>
      </c>
      <c r="Q44" s="319"/>
      <c r="R44" s="319"/>
      <c r="S44" s="319"/>
    </row>
    <row r="45" spans="1:19" ht="15" customHeight="1" x14ac:dyDescent="0.2">
      <c r="A45" s="144">
        <v>39</v>
      </c>
      <c r="B45" s="167" t="s">
        <v>222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  <c r="H45" s="191">
        <v>0</v>
      </c>
      <c r="I45" s="191">
        <v>1898</v>
      </c>
      <c r="J45" s="191">
        <v>601</v>
      </c>
      <c r="K45" s="191">
        <f t="shared" si="2"/>
        <v>1898</v>
      </c>
      <c r="L45" s="191">
        <f t="shared" si="3"/>
        <v>601</v>
      </c>
      <c r="M45" s="319">
        <f>NPA_PS_14!N46</f>
        <v>0</v>
      </c>
      <c r="N45" s="319">
        <f t="shared" si="0"/>
        <v>601</v>
      </c>
      <c r="O45" s="320">
        <f>NPA_13!D46</f>
        <v>0</v>
      </c>
      <c r="P45" s="319">
        <f t="shared" si="1"/>
        <v>601</v>
      </c>
      <c r="Q45" s="319"/>
      <c r="R45" s="319"/>
      <c r="S45" s="319"/>
    </row>
    <row r="46" spans="1:19" ht="15" customHeight="1" x14ac:dyDescent="0.2">
      <c r="A46" s="144">
        <v>40</v>
      </c>
      <c r="B46" s="167" t="s">
        <v>223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f t="shared" si="2"/>
        <v>0</v>
      </c>
      <c r="L46" s="191">
        <f t="shared" si="3"/>
        <v>0</v>
      </c>
      <c r="M46" s="319">
        <f>NPA_PS_14!N47</f>
        <v>662</v>
      </c>
      <c r="N46" s="319">
        <f t="shared" si="0"/>
        <v>662</v>
      </c>
      <c r="O46" s="320">
        <f>NPA_13!D47</f>
        <v>1033.99</v>
      </c>
      <c r="P46" s="319">
        <f t="shared" si="1"/>
        <v>-371.99</v>
      </c>
      <c r="Q46" s="319"/>
      <c r="R46" s="319"/>
      <c r="S46" s="319"/>
    </row>
    <row r="47" spans="1:19" ht="15" customHeight="1" x14ac:dyDescent="0.2">
      <c r="A47" s="144">
        <v>41</v>
      </c>
      <c r="B47" s="167" t="s">
        <v>224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  <c r="H47" s="191">
        <v>0</v>
      </c>
      <c r="I47" s="191">
        <v>15</v>
      </c>
      <c r="J47" s="191">
        <v>371.99</v>
      </c>
      <c r="K47" s="191">
        <f t="shared" si="2"/>
        <v>15</v>
      </c>
      <c r="L47" s="191">
        <f t="shared" si="3"/>
        <v>371.99</v>
      </c>
      <c r="M47" s="319">
        <f>NPA_PS_14!N48</f>
        <v>0</v>
      </c>
      <c r="N47" s="319">
        <f t="shared" si="0"/>
        <v>371.99</v>
      </c>
      <c r="O47" s="320">
        <f>NPA_13!D48</f>
        <v>0</v>
      </c>
      <c r="P47" s="319">
        <f t="shared" si="1"/>
        <v>371.99</v>
      </c>
      <c r="Q47" s="319"/>
      <c r="R47" s="319"/>
      <c r="S47" s="319"/>
    </row>
    <row r="48" spans="1:19" ht="15" customHeight="1" x14ac:dyDescent="0.2">
      <c r="A48" s="144">
        <v>42</v>
      </c>
      <c r="B48" s="172" t="s">
        <v>225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f t="shared" si="2"/>
        <v>0</v>
      </c>
      <c r="L48" s="191">
        <f t="shared" si="3"/>
        <v>0</v>
      </c>
      <c r="M48" s="319">
        <f>NPA_PS_14!N49</f>
        <v>4022</v>
      </c>
      <c r="N48" s="319">
        <f t="shared" si="0"/>
        <v>4022</v>
      </c>
      <c r="O48" s="320">
        <f>NPA_13!D49</f>
        <v>4099</v>
      </c>
      <c r="P48" s="319">
        <f t="shared" si="1"/>
        <v>-77</v>
      </c>
      <c r="Q48" s="319"/>
      <c r="R48" s="319"/>
      <c r="S48" s="319"/>
    </row>
    <row r="49" spans="1:19" ht="15" customHeight="1" x14ac:dyDescent="0.2">
      <c r="A49" s="144">
        <v>43</v>
      </c>
      <c r="B49" s="167" t="s">
        <v>74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91">
        <v>96</v>
      </c>
      <c r="J49" s="191">
        <v>77</v>
      </c>
      <c r="K49" s="191">
        <f t="shared" si="2"/>
        <v>96</v>
      </c>
      <c r="L49" s="191">
        <f t="shared" si="3"/>
        <v>77</v>
      </c>
      <c r="M49" s="319">
        <f>NPA_PS_14!N50</f>
        <v>24.62</v>
      </c>
      <c r="N49" s="319">
        <f t="shared" si="0"/>
        <v>101.62</v>
      </c>
      <c r="O49" s="320">
        <f>NPA_13!D50</f>
        <v>24.62</v>
      </c>
      <c r="P49" s="319">
        <f t="shared" si="1"/>
        <v>77</v>
      </c>
      <c r="Q49" s="319"/>
      <c r="R49" s="319"/>
      <c r="S49" s="319"/>
    </row>
    <row r="50" spans="1:19" ht="15" customHeight="1" x14ac:dyDescent="0.2">
      <c r="A50" s="144">
        <v>44</v>
      </c>
      <c r="B50" s="167" t="s">
        <v>226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f t="shared" si="2"/>
        <v>0</v>
      </c>
      <c r="L50" s="191">
        <f t="shared" si="3"/>
        <v>0</v>
      </c>
      <c r="M50" s="319">
        <f>NPA_PS_14!N51</f>
        <v>222.9</v>
      </c>
      <c r="N50" s="319">
        <f t="shared" si="0"/>
        <v>222.9</v>
      </c>
      <c r="O50" s="320">
        <f>NPA_13!D51</f>
        <v>222.9</v>
      </c>
      <c r="P50" s="319">
        <f t="shared" si="1"/>
        <v>0</v>
      </c>
      <c r="Q50" s="319"/>
      <c r="R50" s="319"/>
      <c r="S50" s="319"/>
    </row>
    <row r="51" spans="1:19" ht="15" customHeight="1" x14ac:dyDescent="0.2">
      <c r="A51" s="144">
        <v>45</v>
      </c>
      <c r="B51" s="167" t="s">
        <v>227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f t="shared" si="2"/>
        <v>0</v>
      </c>
      <c r="L51" s="191">
        <f t="shared" si="3"/>
        <v>0</v>
      </c>
      <c r="M51" s="319">
        <f>NPA_PS_14!N52</f>
        <v>0</v>
      </c>
      <c r="N51" s="319">
        <f t="shared" si="0"/>
        <v>0</v>
      </c>
      <c r="O51" s="320">
        <f>NPA_13!D52</f>
        <v>0</v>
      </c>
      <c r="P51" s="319">
        <f t="shared" si="1"/>
        <v>0</v>
      </c>
      <c r="Q51" s="319"/>
      <c r="R51" s="319"/>
      <c r="S51" s="319"/>
    </row>
    <row r="52" spans="1:19" ht="15" customHeight="1" x14ac:dyDescent="0.2">
      <c r="A52" s="144">
        <v>46</v>
      </c>
      <c r="B52" s="167" t="s">
        <v>228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f t="shared" si="2"/>
        <v>0</v>
      </c>
      <c r="L52" s="191">
        <f t="shared" si="3"/>
        <v>0</v>
      </c>
      <c r="M52" s="319">
        <f>NPA_PS_14!N53</f>
        <v>0</v>
      </c>
      <c r="N52" s="319">
        <f t="shared" si="0"/>
        <v>0</v>
      </c>
      <c r="O52" s="320">
        <f>NPA_13!D53</f>
        <v>0</v>
      </c>
      <c r="P52" s="319">
        <f t="shared" si="1"/>
        <v>0</v>
      </c>
      <c r="Q52" s="319"/>
      <c r="R52" s="319"/>
      <c r="S52" s="319"/>
    </row>
    <row r="53" spans="1:19" ht="15" customHeight="1" x14ac:dyDescent="0.2">
      <c r="A53" s="144">
        <v>47</v>
      </c>
      <c r="B53" s="167" t="s">
        <v>78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f t="shared" si="2"/>
        <v>0</v>
      </c>
      <c r="L53" s="191">
        <f t="shared" si="3"/>
        <v>0</v>
      </c>
      <c r="M53" s="319">
        <f>NPA_PS_14!N54</f>
        <v>0</v>
      </c>
      <c r="N53" s="319">
        <f t="shared" si="0"/>
        <v>0</v>
      </c>
      <c r="O53" s="320">
        <f>NPA_13!D54</f>
        <v>0</v>
      </c>
      <c r="P53" s="319">
        <f t="shared" si="1"/>
        <v>0</v>
      </c>
      <c r="Q53" s="319"/>
      <c r="R53" s="319"/>
      <c r="S53" s="319"/>
    </row>
    <row r="54" spans="1:19" ht="15" customHeight="1" x14ac:dyDescent="0.2">
      <c r="A54" s="144">
        <v>48</v>
      </c>
      <c r="B54" s="167" t="s">
        <v>229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f t="shared" si="2"/>
        <v>0</v>
      </c>
      <c r="L54" s="191">
        <f t="shared" si="3"/>
        <v>0</v>
      </c>
      <c r="M54" s="319">
        <f>NPA_PS_14!N55</f>
        <v>348.65</v>
      </c>
      <c r="N54" s="319">
        <f t="shared" si="0"/>
        <v>348.65</v>
      </c>
      <c r="O54" s="320">
        <f>NPA_13!D55</f>
        <v>348.65</v>
      </c>
      <c r="P54" s="319">
        <f t="shared" si="1"/>
        <v>0</v>
      </c>
      <c r="Q54" s="319"/>
      <c r="R54" s="319"/>
      <c r="S54" s="319"/>
    </row>
    <row r="55" spans="1:19" ht="15" customHeight="1" x14ac:dyDescent="0.2">
      <c r="A55" s="144">
        <v>49</v>
      </c>
      <c r="B55" s="167" t="s">
        <v>77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f t="shared" si="2"/>
        <v>0</v>
      </c>
      <c r="L55" s="191">
        <f t="shared" si="3"/>
        <v>0</v>
      </c>
      <c r="M55" s="319">
        <f>NPA_PS_14!N56</f>
        <v>33003.5</v>
      </c>
      <c r="N55" s="319">
        <f t="shared" si="0"/>
        <v>33003.5</v>
      </c>
      <c r="O55" s="320">
        <f>NPA_13!D56</f>
        <v>52014.880000000005</v>
      </c>
      <c r="P55" s="319">
        <f t="shared" si="1"/>
        <v>-19011.380000000005</v>
      </c>
      <c r="Q55" s="319"/>
      <c r="R55" s="319"/>
      <c r="S55" s="319"/>
    </row>
    <row r="56" spans="1:19" s="318" customFormat="1" ht="15" customHeight="1" x14ac:dyDescent="0.2">
      <c r="A56" s="144"/>
      <c r="B56" s="170" t="s">
        <v>408</v>
      </c>
      <c r="C56" s="193">
        <f>SUM(C34:C55)</f>
        <v>4</v>
      </c>
      <c r="D56" s="193">
        <f t="shared" ref="D56:L56" si="5">SUM(D34:D55)</f>
        <v>967</v>
      </c>
      <c r="E56" s="193">
        <f t="shared" si="5"/>
        <v>0</v>
      </c>
      <c r="F56" s="193">
        <f t="shared" si="5"/>
        <v>0</v>
      </c>
      <c r="G56" s="193">
        <f t="shared" si="5"/>
        <v>0</v>
      </c>
      <c r="H56" s="193">
        <f t="shared" si="5"/>
        <v>0</v>
      </c>
      <c r="I56" s="193">
        <f t="shared" si="5"/>
        <v>9675</v>
      </c>
      <c r="J56" s="193">
        <f t="shared" si="5"/>
        <v>18044.38</v>
      </c>
      <c r="K56" s="193">
        <f t="shared" si="5"/>
        <v>9679</v>
      </c>
      <c r="L56" s="193">
        <f t="shared" si="5"/>
        <v>19011.38</v>
      </c>
      <c r="M56" s="321">
        <f>NPA_PS_14!N57</f>
        <v>45210</v>
      </c>
      <c r="N56" s="321">
        <f t="shared" si="0"/>
        <v>64221.380000000005</v>
      </c>
      <c r="O56" s="322">
        <f>NPA_13!D57</f>
        <v>48587</v>
      </c>
      <c r="P56" s="321">
        <f t="shared" si="1"/>
        <v>15634.380000000005</v>
      </c>
      <c r="Q56" s="321"/>
      <c r="R56" s="321"/>
      <c r="S56" s="321"/>
    </row>
    <row r="57" spans="1:19" ht="15" customHeight="1" x14ac:dyDescent="0.2">
      <c r="A57" s="144">
        <v>50</v>
      </c>
      <c r="B57" s="167" t="s">
        <v>47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  <c r="H57" s="191">
        <v>0</v>
      </c>
      <c r="I57" s="191">
        <v>7237</v>
      </c>
      <c r="J57" s="191">
        <v>3377</v>
      </c>
      <c r="K57" s="191">
        <f t="shared" si="2"/>
        <v>7237</v>
      </c>
      <c r="L57" s="191">
        <f t="shared" si="3"/>
        <v>3377</v>
      </c>
      <c r="M57" s="319">
        <f>NPA_PS_14!N58</f>
        <v>52140</v>
      </c>
      <c r="N57" s="319">
        <f t="shared" si="0"/>
        <v>55517</v>
      </c>
      <c r="O57" s="320">
        <f>NPA_13!D58</f>
        <v>53337</v>
      </c>
      <c r="P57" s="319">
        <f t="shared" si="1"/>
        <v>2180</v>
      </c>
      <c r="Q57" s="319"/>
      <c r="R57" s="319"/>
      <c r="S57" s="319"/>
    </row>
    <row r="58" spans="1:19" ht="15" customHeight="1" x14ac:dyDescent="0.2">
      <c r="A58" s="144">
        <v>51</v>
      </c>
      <c r="B58" s="145" t="s">
        <v>230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  <c r="H58" s="191">
        <v>0</v>
      </c>
      <c r="I58" s="191">
        <v>1266</v>
      </c>
      <c r="J58" s="191">
        <v>1197</v>
      </c>
      <c r="K58" s="191">
        <f t="shared" si="2"/>
        <v>1266</v>
      </c>
      <c r="L58" s="191">
        <f t="shared" si="3"/>
        <v>1197</v>
      </c>
      <c r="M58" s="319">
        <f>NPA_PS_14!N59</f>
        <v>16107.03</v>
      </c>
      <c r="N58" s="319">
        <f t="shared" si="0"/>
        <v>17304.03</v>
      </c>
      <c r="O58" s="320">
        <f>NPA_13!D59</f>
        <v>16533.05</v>
      </c>
      <c r="P58" s="319">
        <f t="shared" si="1"/>
        <v>770.97999999999956</v>
      </c>
      <c r="Q58" s="319"/>
      <c r="R58" s="319"/>
      <c r="S58" s="319"/>
    </row>
    <row r="59" spans="1:19" ht="13.5" x14ac:dyDescent="0.2">
      <c r="A59" s="144">
        <v>52</v>
      </c>
      <c r="B59" s="191" t="s">
        <v>53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  <c r="H59" s="191">
        <v>0</v>
      </c>
      <c r="I59" s="191">
        <v>791</v>
      </c>
      <c r="J59" s="191">
        <v>426.02</v>
      </c>
      <c r="K59" s="191">
        <f t="shared" si="2"/>
        <v>791</v>
      </c>
      <c r="L59" s="191">
        <f t="shared" si="3"/>
        <v>426.02</v>
      </c>
      <c r="M59" s="319"/>
      <c r="N59" s="319"/>
      <c r="O59" s="320"/>
      <c r="P59" s="319"/>
      <c r="Q59" s="319"/>
      <c r="R59" s="319"/>
      <c r="S59" s="319"/>
    </row>
    <row r="60" spans="1:19" s="318" customFormat="1" ht="13.5" x14ac:dyDescent="0.2">
      <c r="A60" s="144"/>
      <c r="B60" s="193" t="s">
        <v>422</v>
      </c>
      <c r="C60" s="193">
        <f>SUM(C57:C59)</f>
        <v>0</v>
      </c>
      <c r="D60" s="193">
        <f t="shared" ref="D60:Q60" si="6">SUM(D57:D59)</f>
        <v>0</v>
      </c>
      <c r="E60" s="193">
        <f t="shared" si="6"/>
        <v>0</v>
      </c>
      <c r="F60" s="193">
        <f t="shared" si="6"/>
        <v>0</v>
      </c>
      <c r="G60" s="193">
        <f t="shared" si="6"/>
        <v>0</v>
      </c>
      <c r="H60" s="193">
        <f t="shared" si="6"/>
        <v>0</v>
      </c>
      <c r="I60" s="193">
        <f t="shared" si="6"/>
        <v>9294</v>
      </c>
      <c r="J60" s="193">
        <f t="shared" si="6"/>
        <v>5000.0200000000004</v>
      </c>
      <c r="K60" s="193">
        <f t="shared" si="6"/>
        <v>9294</v>
      </c>
      <c r="L60" s="193">
        <f t="shared" si="6"/>
        <v>5000.0200000000004</v>
      </c>
      <c r="M60" s="193">
        <f t="shared" si="6"/>
        <v>68247.03</v>
      </c>
      <c r="N60" s="193">
        <f t="shared" si="6"/>
        <v>72821.03</v>
      </c>
      <c r="O60" s="193">
        <f t="shared" si="6"/>
        <v>69870.05</v>
      </c>
      <c r="P60" s="193">
        <f t="shared" si="6"/>
        <v>2950.9799999999996</v>
      </c>
      <c r="Q60" s="193">
        <f t="shared" si="6"/>
        <v>0</v>
      </c>
      <c r="R60" s="321"/>
      <c r="S60" s="321"/>
    </row>
    <row r="61" spans="1:19" ht="13.5" x14ac:dyDescent="0.2">
      <c r="A61" s="144">
        <v>53</v>
      </c>
      <c r="B61" s="191" t="s">
        <v>409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1">
        <v>0</v>
      </c>
      <c r="K61" s="191">
        <f t="shared" si="2"/>
        <v>0</v>
      </c>
      <c r="L61" s="191">
        <f t="shared" si="3"/>
        <v>0</v>
      </c>
      <c r="M61" s="319"/>
      <c r="N61" s="319"/>
      <c r="O61" s="320"/>
      <c r="P61" s="319"/>
      <c r="Q61" s="319"/>
      <c r="R61" s="319"/>
      <c r="S61" s="319"/>
    </row>
    <row r="62" spans="1:19" s="318" customFormat="1" ht="15" customHeight="1" x14ac:dyDescent="0.2">
      <c r="A62" s="144"/>
      <c r="B62" s="193" t="s">
        <v>410</v>
      </c>
      <c r="C62" s="193">
        <f>C61</f>
        <v>0</v>
      </c>
      <c r="D62" s="193">
        <f t="shared" ref="D62:L62" si="7">D61</f>
        <v>0</v>
      </c>
      <c r="E62" s="193">
        <f t="shared" si="7"/>
        <v>0</v>
      </c>
      <c r="F62" s="193">
        <f t="shared" si="7"/>
        <v>0</v>
      </c>
      <c r="G62" s="193">
        <f t="shared" si="7"/>
        <v>0</v>
      </c>
      <c r="H62" s="193">
        <f t="shared" si="7"/>
        <v>0</v>
      </c>
      <c r="I62" s="193">
        <f t="shared" si="7"/>
        <v>0</v>
      </c>
      <c r="J62" s="193">
        <f t="shared" si="7"/>
        <v>0</v>
      </c>
      <c r="K62" s="193">
        <f t="shared" si="7"/>
        <v>0</v>
      </c>
      <c r="L62" s="193">
        <f t="shared" si="7"/>
        <v>0</v>
      </c>
      <c r="M62" s="321"/>
      <c r="N62" s="321"/>
      <c r="O62" s="322"/>
      <c r="P62" s="321"/>
      <c r="Q62" s="321"/>
      <c r="R62" s="321"/>
      <c r="S62" s="321"/>
    </row>
    <row r="63" spans="1:19" s="319" customFormat="1" ht="15" customHeight="1" x14ac:dyDescent="0.2">
      <c r="A63" s="191"/>
      <c r="B63" s="189" t="s">
        <v>411</v>
      </c>
      <c r="C63" s="193">
        <f>C62+C60+C56+C33</f>
        <v>5983</v>
      </c>
      <c r="D63" s="193">
        <f t="shared" ref="D63:L63" si="8">D62+D60+D56+D33</f>
        <v>77037.070000000007</v>
      </c>
      <c r="E63" s="193">
        <f t="shared" si="8"/>
        <v>1319</v>
      </c>
      <c r="F63" s="193">
        <f t="shared" si="8"/>
        <v>6803.06</v>
      </c>
      <c r="G63" s="193">
        <f t="shared" si="8"/>
        <v>2121</v>
      </c>
      <c r="H63" s="193">
        <f t="shared" si="8"/>
        <v>5691</v>
      </c>
      <c r="I63" s="193">
        <f t="shared" si="8"/>
        <v>29659</v>
      </c>
      <c r="J63" s="193">
        <f t="shared" si="8"/>
        <v>218015.7</v>
      </c>
      <c r="K63" s="193">
        <f t="shared" si="8"/>
        <v>39082</v>
      </c>
      <c r="L63" s="193">
        <f t="shared" si="8"/>
        <v>307546.83</v>
      </c>
      <c r="O63" s="320"/>
    </row>
  </sheetData>
  <mergeCells count="10">
    <mergeCell ref="A1:L1"/>
    <mergeCell ref="A2:L2"/>
    <mergeCell ref="K4:L4"/>
    <mergeCell ref="E4:F4"/>
    <mergeCell ref="G4:H4"/>
    <mergeCell ref="I4:J4"/>
    <mergeCell ref="I3:J3"/>
    <mergeCell ref="A4:A5"/>
    <mergeCell ref="B4:B5"/>
    <mergeCell ref="C4:D4"/>
  </mergeCells>
  <conditionalFormatting sqref="I3">
    <cfRule type="cellIs" dxfId="76" priority="7" operator="lessThan">
      <formula>0</formula>
    </cfRule>
  </conditionalFormatting>
  <conditionalFormatting sqref="B21">
    <cfRule type="duplicateValues" dxfId="75" priority="2"/>
  </conditionalFormatting>
  <conditionalFormatting sqref="B32:B33 B25:B29">
    <cfRule type="duplicateValues" dxfId="74" priority="3"/>
  </conditionalFormatting>
  <conditionalFormatting sqref="B51">
    <cfRule type="duplicateValues" dxfId="73" priority="4"/>
  </conditionalFormatting>
  <conditionalFormatting sqref="B55">
    <cfRule type="duplicateValues" dxfId="72" priority="5"/>
  </conditionalFormatting>
  <conditionalFormatting sqref="B57">
    <cfRule type="duplicateValues" dxfId="71" priority="6"/>
  </conditionalFormatting>
  <pageMargins left="0.7" right="0.45" top="0.2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X63"/>
  <sheetViews>
    <sheetView zoomScaleNormal="100" workbookViewId="0">
      <pane xSplit="2" ySplit="5" topLeftCell="G15" activePane="bottomRight" state="frozen"/>
      <selection pane="topRight" activeCell="C1" sqref="C1"/>
      <selection pane="bottomLeft" activeCell="A6" sqref="A6"/>
      <selection pane="bottomRight" activeCell="Q30" sqref="Q30"/>
    </sheetView>
  </sheetViews>
  <sheetFormatPr defaultRowHeight="12.75" x14ac:dyDescent="0.2"/>
  <cols>
    <col min="1" max="1" width="4.28515625" style="5" customWidth="1"/>
    <col min="2" max="2" width="24.42578125" style="5" bestFit="1" customWidth="1"/>
    <col min="3" max="3" width="8.42578125" style="6" bestFit="1" customWidth="1"/>
    <col min="4" max="4" width="8.28515625" style="6" bestFit="1" customWidth="1"/>
    <col min="5" max="5" width="9" style="6" bestFit="1" customWidth="1"/>
    <col min="6" max="6" width="9.85546875" style="6" bestFit="1" customWidth="1"/>
    <col min="7" max="7" width="9" style="29" bestFit="1" customWidth="1"/>
    <col min="8" max="8" width="7.7109375" style="6" bestFit="1" customWidth="1"/>
    <col min="9" max="9" width="8" style="6" bestFit="1" customWidth="1"/>
    <col min="10" max="10" width="8.42578125" style="6" bestFit="1" customWidth="1"/>
    <col min="11" max="11" width="9.140625" style="6" bestFit="1" customWidth="1"/>
    <col min="12" max="12" width="9" style="29" bestFit="1" customWidth="1"/>
    <col min="13" max="13" width="9.140625" style="6" bestFit="1" customWidth="1"/>
    <col min="14" max="14" width="8.42578125" style="6" bestFit="1" customWidth="1"/>
    <col min="15" max="15" width="10.140625" style="6" bestFit="1" customWidth="1"/>
    <col min="16" max="16" width="10.5703125" style="6" bestFit="1" customWidth="1"/>
    <col min="17" max="17" width="7.7109375" style="29" bestFit="1" customWidth="1"/>
    <col min="18" max="18" width="8.28515625" style="6" bestFit="1" customWidth="1"/>
    <col min="19" max="19" width="8.28515625" style="6" customWidth="1"/>
    <col min="20" max="21" width="8.7109375" style="6" bestFit="1" customWidth="1"/>
    <col min="22" max="22" width="9.42578125" style="29" bestFit="1" customWidth="1"/>
    <col min="23" max="16384" width="9.140625" style="5"/>
  </cols>
  <sheetData>
    <row r="1" spans="1:24" ht="18.75" customHeight="1" x14ac:dyDescent="0.2">
      <c r="A1" s="489" t="s">
        <v>487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24" ht="15.75" x14ac:dyDescent="0.2">
      <c r="A2" s="490" t="s">
        <v>31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</row>
    <row r="3" spans="1:24" ht="14.25" x14ac:dyDescent="0.2">
      <c r="A3" s="143"/>
      <c r="B3" s="2" t="s">
        <v>12</v>
      </c>
      <c r="C3" s="151"/>
      <c r="D3" s="27"/>
      <c r="E3" s="27"/>
      <c r="F3" s="27"/>
      <c r="G3" s="31"/>
      <c r="H3" s="27"/>
      <c r="I3" s="27"/>
      <c r="J3" s="468"/>
      <c r="K3" s="468"/>
      <c r="L3" s="4"/>
      <c r="M3" s="151"/>
      <c r="N3" s="472" t="s">
        <v>173</v>
      </c>
      <c r="O3" s="472"/>
      <c r="P3" s="198"/>
    </row>
    <row r="4" spans="1:24" ht="39.950000000000003" customHeight="1" x14ac:dyDescent="0.2">
      <c r="A4" s="491" t="s">
        <v>2</v>
      </c>
      <c r="B4" s="491" t="s">
        <v>3</v>
      </c>
      <c r="C4" s="416" t="s">
        <v>114</v>
      </c>
      <c r="D4" s="415"/>
      <c r="E4" s="416" t="s">
        <v>42</v>
      </c>
      <c r="F4" s="415"/>
      <c r="G4" s="487" t="s">
        <v>119</v>
      </c>
      <c r="H4" s="416" t="s">
        <v>115</v>
      </c>
      <c r="I4" s="415"/>
      <c r="J4" s="416" t="s">
        <v>41</v>
      </c>
      <c r="K4" s="415"/>
      <c r="L4" s="487" t="s">
        <v>119</v>
      </c>
      <c r="M4" s="416" t="s">
        <v>116</v>
      </c>
      <c r="N4" s="415"/>
      <c r="O4" s="416" t="s">
        <v>40</v>
      </c>
      <c r="P4" s="414"/>
      <c r="Q4" s="485" t="s">
        <v>98</v>
      </c>
      <c r="R4" s="416" t="s">
        <v>174</v>
      </c>
      <c r="S4" s="415"/>
      <c r="T4" s="416" t="s">
        <v>175</v>
      </c>
      <c r="U4" s="414"/>
      <c r="V4" s="485" t="s">
        <v>98</v>
      </c>
    </row>
    <row r="5" spans="1:24" x14ac:dyDescent="0.2">
      <c r="A5" s="492"/>
      <c r="B5" s="492"/>
      <c r="C5" s="299" t="s">
        <v>22</v>
      </c>
      <c r="D5" s="299" t="s">
        <v>23</v>
      </c>
      <c r="E5" s="299" t="s">
        <v>22</v>
      </c>
      <c r="F5" s="299" t="s">
        <v>23</v>
      </c>
      <c r="G5" s="488"/>
      <c r="H5" s="299" t="s">
        <v>22</v>
      </c>
      <c r="I5" s="299" t="s">
        <v>23</v>
      </c>
      <c r="J5" s="299" t="s">
        <v>22</v>
      </c>
      <c r="K5" s="299" t="s">
        <v>23</v>
      </c>
      <c r="L5" s="488"/>
      <c r="M5" s="299" t="s">
        <v>22</v>
      </c>
      <c r="N5" s="299" t="s">
        <v>23</v>
      </c>
      <c r="O5" s="299" t="s">
        <v>22</v>
      </c>
      <c r="P5" s="300" t="s">
        <v>23</v>
      </c>
      <c r="Q5" s="486"/>
      <c r="R5" s="299" t="s">
        <v>22</v>
      </c>
      <c r="S5" s="299" t="s">
        <v>23</v>
      </c>
      <c r="T5" s="299" t="s">
        <v>22</v>
      </c>
      <c r="U5" s="300" t="s">
        <v>23</v>
      </c>
      <c r="V5" s="486"/>
    </row>
    <row r="6" spans="1:24" ht="15" customHeight="1" x14ac:dyDescent="0.2">
      <c r="A6" s="65">
        <v>1</v>
      </c>
      <c r="B6" s="66" t="s">
        <v>56</v>
      </c>
      <c r="C6" s="191">
        <v>296</v>
      </c>
      <c r="D6" s="191">
        <v>485.56</v>
      </c>
      <c r="E6" s="191">
        <v>3948</v>
      </c>
      <c r="F6" s="191">
        <v>8764</v>
      </c>
      <c r="G6" s="331">
        <f>D6*100/F6</f>
        <v>5.5403925148334094</v>
      </c>
      <c r="H6" s="191">
        <v>138</v>
      </c>
      <c r="I6" s="191">
        <v>398.75</v>
      </c>
      <c r="J6" s="191">
        <v>862</v>
      </c>
      <c r="K6" s="191">
        <v>4834.47</v>
      </c>
      <c r="L6" s="331">
        <f>I6*100/K6</f>
        <v>8.2480602837539578</v>
      </c>
      <c r="M6" s="191">
        <v>976</v>
      </c>
      <c r="N6" s="191">
        <v>912.2</v>
      </c>
      <c r="O6" s="191">
        <v>9452</v>
      </c>
      <c r="P6" s="191">
        <v>7801.23</v>
      </c>
      <c r="Q6" s="331">
        <f>N6*100/P6</f>
        <v>11.693027894319229</v>
      </c>
      <c r="R6" s="191">
        <v>244</v>
      </c>
      <c r="S6" s="191">
        <v>105.8</v>
      </c>
      <c r="T6" s="191">
        <v>1520</v>
      </c>
      <c r="U6" s="191">
        <v>763.18</v>
      </c>
      <c r="V6" s="331">
        <f>S6*100/U6</f>
        <v>13.863046725543123</v>
      </c>
      <c r="W6" s="484"/>
      <c r="X6" s="484"/>
    </row>
    <row r="7" spans="1:24" ht="15" customHeight="1" x14ac:dyDescent="0.2">
      <c r="A7" s="65">
        <v>2</v>
      </c>
      <c r="B7" s="66" t="s">
        <v>57</v>
      </c>
      <c r="C7" s="191">
        <v>84</v>
      </c>
      <c r="D7" s="191">
        <v>91.59</v>
      </c>
      <c r="E7" s="191">
        <v>479</v>
      </c>
      <c r="F7" s="191">
        <v>572</v>
      </c>
      <c r="G7" s="331">
        <f t="shared" ref="G7:G63" si="0">D7*100/F7</f>
        <v>16.012237762237763</v>
      </c>
      <c r="H7" s="191">
        <v>5</v>
      </c>
      <c r="I7" s="191">
        <v>7.82</v>
      </c>
      <c r="J7" s="191">
        <v>21</v>
      </c>
      <c r="K7" s="191">
        <v>99</v>
      </c>
      <c r="L7" s="331">
        <f t="shared" ref="L7:L63" si="1">I7*100/K7</f>
        <v>7.8989898989898988</v>
      </c>
      <c r="M7" s="191">
        <v>0</v>
      </c>
      <c r="N7" s="191">
        <v>0</v>
      </c>
      <c r="O7" s="191">
        <v>0</v>
      </c>
      <c r="P7" s="191">
        <v>0</v>
      </c>
      <c r="Q7" s="331">
        <v>0</v>
      </c>
      <c r="R7" s="191">
        <v>0</v>
      </c>
      <c r="S7" s="191">
        <v>0</v>
      </c>
      <c r="T7" s="191">
        <v>0</v>
      </c>
      <c r="U7" s="191">
        <v>0</v>
      </c>
      <c r="V7" s="331">
        <v>0</v>
      </c>
      <c r="W7" s="484"/>
      <c r="X7" s="484"/>
    </row>
    <row r="8" spans="1:24" ht="15" customHeight="1" x14ac:dyDescent="0.2">
      <c r="A8" s="65">
        <v>3</v>
      </c>
      <c r="B8" s="66" t="s">
        <v>58</v>
      </c>
      <c r="C8" s="191">
        <v>271</v>
      </c>
      <c r="D8" s="191">
        <v>494</v>
      </c>
      <c r="E8" s="191">
        <v>2094</v>
      </c>
      <c r="F8" s="191">
        <v>5402</v>
      </c>
      <c r="G8" s="331">
        <f t="shared" si="0"/>
        <v>9.1447611995557203</v>
      </c>
      <c r="H8" s="191">
        <v>189</v>
      </c>
      <c r="I8" s="191">
        <v>434.1</v>
      </c>
      <c r="J8" s="191">
        <v>1645</v>
      </c>
      <c r="K8" s="191">
        <v>6704.5</v>
      </c>
      <c r="L8" s="331">
        <f t="shared" si="1"/>
        <v>6.4747557610560076</v>
      </c>
      <c r="M8" s="191">
        <v>2215</v>
      </c>
      <c r="N8" s="191">
        <v>1433</v>
      </c>
      <c r="O8" s="191">
        <v>13344</v>
      </c>
      <c r="P8" s="191">
        <v>9689</v>
      </c>
      <c r="Q8" s="331">
        <f t="shared" ref="Q8:Q63" si="2">N8*100/P8</f>
        <v>14.789968004954071</v>
      </c>
      <c r="R8" s="191">
        <v>92</v>
      </c>
      <c r="S8" s="191">
        <v>288.13</v>
      </c>
      <c r="T8" s="191">
        <v>668</v>
      </c>
      <c r="U8" s="191">
        <v>867</v>
      </c>
      <c r="V8" s="331">
        <f t="shared" ref="V8:V63" si="3">S8*100/U8</f>
        <v>33.232987312572085</v>
      </c>
      <c r="W8" s="484"/>
      <c r="X8" s="484"/>
    </row>
    <row r="9" spans="1:24" ht="15" customHeight="1" x14ac:dyDescent="0.2">
      <c r="A9" s="65">
        <v>4</v>
      </c>
      <c r="B9" s="66" t="s">
        <v>59</v>
      </c>
      <c r="C9" s="191">
        <v>325</v>
      </c>
      <c r="D9" s="191">
        <v>1586</v>
      </c>
      <c r="E9" s="191">
        <v>6955</v>
      </c>
      <c r="F9" s="191">
        <v>39378</v>
      </c>
      <c r="G9" s="331">
        <f t="shared" si="0"/>
        <v>4.0276296409162473</v>
      </c>
      <c r="H9" s="191">
        <v>121</v>
      </c>
      <c r="I9" s="191">
        <v>608</v>
      </c>
      <c r="J9" s="191">
        <v>2036</v>
      </c>
      <c r="K9" s="191">
        <v>9729</v>
      </c>
      <c r="L9" s="331">
        <f t="shared" si="1"/>
        <v>6.2493575907081924</v>
      </c>
      <c r="M9" s="191">
        <v>2776</v>
      </c>
      <c r="N9" s="191">
        <v>1609</v>
      </c>
      <c r="O9" s="191">
        <v>65173</v>
      </c>
      <c r="P9" s="191">
        <v>44243</v>
      </c>
      <c r="Q9" s="331">
        <f t="shared" si="2"/>
        <v>3.6367334945641119</v>
      </c>
      <c r="R9" s="191">
        <v>76</v>
      </c>
      <c r="S9" s="191">
        <v>74</v>
      </c>
      <c r="T9" s="191">
        <v>2769</v>
      </c>
      <c r="U9" s="191">
        <v>2829</v>
      </c>
      <c r="V9" s="331">
        <f t="shared" si="3"/>
        <v>2.6157652880876636</v>
      </c>
      <c r="W9" s="484"/>
      <c r="X9" s="484"/>
    </row>
    <row r="10" spans="1:24" ht="15" customHeight="1" x14ac:dyDescent="0.2">
      <c r="A10" s="65">
        <v>5</v>
      </c>
      <c r="B10" s="66" t="s">
        <v>60</v>
      </c>
      <c r="C10" s="191">
        <v>393</v>
      </c>
      <c r="D10" s="191">
        <v>629</v>
      </c>
      <c r="E10" s="191">
        <v>2729</v>
      </c>
      <c r="F10" s="191">
        <v>13645</v>
      </c>
      <c r="G10" s="331">
        <f t="shared" si="0"/>
        <v>4.6097471601319162</v>
      </c>
      <c r="H10" s="191">
        <v>110</v>
      </c>
      <c r="I10" s="191">
        <v>298</v>
      </c>
      <c r="J10" s="191">
        <v>603</v>
      </c>
      <c r="K10" s="191">
        <v>868</v>
      </c>
      <c r="L10" s="331">
        <f t="shared" si="1"/>
        <v>34.331797235023039</v>
      </c>
      <c r="M10" s="191">
        <v>2125</v>
      </c>
      <c r="N10" s="191">
        <v>1789</v>
      </c>
      <c r="O10" s="191">
        <v>10912</v>
      </c>
      <c r="P10" s="191">
        <v>10109</v>
      </c>
      <c r="Q10" s="331">
        <f t="shared" si="2"/>
        <v>17.697101592640223</v>
      </c>
      <c r="R10" s="191">
        <v>112</v>
      </c>
      <c r="S10" s="191">
        <v>197</v>
      </c>
      <c r="T10" s="191">
        <v>645</v>
      </c>
      <c r="U10" s="191">
        <v>613</v>
      </c>
      <c r="V10" s="331">
        <f t="shared" si="3"/>
        <v>32.137030995106038</v>
      </c>
    </row>
    <row r="11" spans="1:24" ht="15" customHeight="1" x14ac:dyDescent="0.2">
      <c r="A11" s="65">
        <v>6</v>
      </c>
      <c r="B11" s="199" t="s">
        <v>244</v>
      </c>
      <c r="C11" s="191">
        <v>0</v>
      </c>
      <c r="D11" s="191">
        <v>0</v>
      </c>
      <c r="E11" s="191">
        <v>0</v>
      </c>
      <c r="F11" s="191">
        <v>0</v>
      </c>
      <c r="G11" s="331">
        <v>0</v>
      </c>
      <c r="H11" s="191">
        <v>0</v>
      </c>
      <c r="I11" s="191">
        <v>0</v>
      </c>
      <c r="J11" s="191">
        <v>0</v>
      </c>
      <c r="K11" s="191">
        <v>0</v>
      </c>
      <c r="L11" s="331">
        <v>0</v>
      </c>
      <c r="M11" s="191">
        <v>0</v>
      </c>
      <c r="N11" s="191">
        <v>0</v>
      </c>
      <c r="O11" s="191">
        <v>0</v>
      </c>
      <c r="P11" s="191">
        <v>0</v>
      </c>
      <c r="Q11" s="331">
        <v>0</v>
      </c>
      <c r="R11" s="191">
        <v>0</v>
      </c>
      <c r="S11" s="191">
        <v>0</v>
      </c>
      <c r="T11" s="191">
        <v>0</v>
      </c>
      <c r="U11" s="191">
        <v>0</v>
      </c>
      <c r="V11" s="331">
        <v>0</v>
      </c>
    </row>
    <row r="12" spans="1:24" ht="15" customHeight="1" x14ac:dyDescent="0.2">
      <c r="A12" s="65">
        <v>7</v>
      </c>
      <c r="B12" s="66" t="s">
        <v>61</v>
      </c>
      <c r="C12" s="191">
        <v>248</v>
      </c>
      <c r="D12" s="191">
        <v>106</v>
      </c>
      <c r="E12" s="191">
        <v>724</v>
      </c>
      <c r="F12" s="191">
        <v>546</v>
      </c>
      <c r="G12" s="331">
        <f t="shared" si="0"/>
        <v>19.413919413919412</v>
      </c>
      <c r="H12" s="191">
        <v>78</v>
      </c>
      <c r="I12" s="191">
        <v>204</v>
      </c>
      <c r="J12" s="191">
        <v>314</v>
      </c>
      <c r="K12" s="191">
        <v>1649</v>
      </c>
      <c r="L12" s="331">
        <f t="shared" si="1"/>
        <v>12.371134020618557</v>
      </c>
      <c r="M12" s="191">
        <v>0</v>
      </c>
      <c r="N12" s="191">
        <v>0</v>
      </c>
      <c r="O12" s="191">
        <v>0</v>
      </c>
      <c r="P12" s="191">
        <v>0</v>
      </c>
      <c r="Q12" s="331">
        <v>0</v>
      </c>
      <c r="R12" s="191">
        <v>0</v>
      </c>
      <c r="S12" s="191">
        <v>0</v>
      </c>
      <c r="T12" s="191">
        <v>618</v>
      </c>
      <c r="U12" s="191">
        <v>460</v>
      </c>
      <c r="V12" s="331">
        <f t="shared" si="3"/>
        <v>0</v>
      </c>
    </row>
    <row r="13" spans="1:24" ht="15" customHeight="1" x14ac:dyDescent="0.2">
      <c r="A13" s="65">
        <v>8</v>
      </c>
      <c r="B13" s="66" t="s">
        <v>62</v>
      </c>
      <c r="C13" s="191">
        <v>578</v>
      </c>
      <c r="D13" s="191">
        <v>591</v>
      </c>
      <c r="E13" s="191">
        <v>17052</v>
      </c>
      <c r="F13" s="191">
        <v>32936</v>
      </c>
      <c r="G13" s="331">
        <f t="shared" si="0"/>
        <v>1.7943891182900169</v>
      </c>
      <c r="H13" s="191">
        <v>291</v>
      </c>
      <c r="I13" s="191">
        <v>563</v>
      </c>
      <c r="J13" s="191">
        <v>1805</v>
      </c>
      <c r="K13" s="191">
        <v>17336</v>
      </c>
      <c r="L13" s="331">
        <f t="shared" si="1"/>
        <v>3.2475772958006459</v>
      </c>
      <c r="M13" s="191">
        <f>6+8495</f>
        <v>8501</v>
      </c>
      <c r="N13" s="191">
        <f>5+50.62</f>
        <v>55.62</v>
      </c>
      <c r="O13" s="191">
        <f>8+83833</f>
        <v>83841</v>
      </c>
      <c r="P13" s="191">
        <f>6+625</f>
        <v>631</v>
      </c>
      <c r="Q13" s="331">
        <f t="shared" si="2"/>
        <v>8.814580031695721</v>
      </c>
      <c r="R13" s="191">
        <v>96</v>
      </c>
      <c r="S13" s="191">
        <v>136</v>
      </c>
      <c r="T13" s="191">
        <v>6793</v>
      </c>
      <c r="U13" s="191">
        <v>3524</v>
      </c>
      <c r="V13" s="331">
        <f t="shared" si="3"/>
        <v>3.859250851305335</v>
      </c>
    </row>
    <row r="14" spans="1:24" ht="15" customHeight="1" x14ac:dyDescent="0.2">
      <c r="A14" s="65">
        <v>9</v>
      </c>
      <c r="B14" s="66" t="s">
        <v>49</v>
      </c>
      <c r="C14" s="191">
        <v>33</v>
      </c>
      <c r="D14" s="191">
        <v>10</v>
      </c>
      <c r="E14" s="191">
        <v>51</v>
      </c>
      <c r="F14" s="191">
        <v>32</v>
      </c>
      <c r="G14" s="331">
        <f t="shared" si="0"/>
        <v>31.25</v>
      </c>
      <c r="H14" s="191">
        <v>19</v>
      </c>
      <c r="I14" s="191">
        <v>191</v>
      </c>
      <c r="J14" s="191">
        <v>59</v>
      </c>
      <c r="K14" s="191">
        <v>460</v>
      </c>
      <c r="L14" s="331">
        <f t="shared" si="1"/>
        <v>41.521739130434781</v>
      </c>
      <c r="M14" s="191">
        <v>0</v>
      </c>
      <c r="N14" s="191">
        <v>0</v>
      </c>
      <c r="O14" s="191">
        <v>0</v>
      </c>
      <c r="P14" s="191">
        <v>0</v>
      </c>
      <c r="Q14" s="331">
        <v>0</v>
      </c>
      <c r="R14" s="191">
        <v>0</v>
      </c>
      <c r="S14" s="191">
        <v>0</v>
      </c>
      <c r="T14" s="191">
        <v>100</v>
      </c>
      <c r="U14" s="191">
        <v>162</v>
      </c>
      <c r="V14" s="331">
        <f t="shared" si="3"/>
        <v>0</v>
      </c>
    </row>
    <row r="15" spans="1:24" ht="15" customHeight="1" x14ac:dyDescent="0.2">
      <c r="A15" s="65">
        <v>10</v>
      </c>
      <c r="B15" s="66" t="s">
        <v>50</v>
      </c>
      <c r="C15" s="191">
        <v>92</v>
      </c>
      <c r="D15" s="191">
        <v>185</v>
      </c>
      <c r="E15" s="191">
        <v>1220</v>
      </c>
      <c r="F15" s="191">
        <v>2812</v>
      </c>
      <c r="G15" s="331">
        <f t="shared" si="0"/>
        <v>6.5789473684210522</v>
      </c>
      <c r="H15" s="191">
        <v>53</v>
      </c>
      <c r="I15" s="191">
        <v>99</v>
      </c>
      <c r="J15" s="191">
        <v>223</v>
      </c>
      <c r="K15" s="191">
        <v>863</v>
      </c>
      <c r="L15" s="331">
        <f t="shared" si="1"/>
        <v>11.471610660486675</v>
      </c>
      <c r="M15" s="191">
        <v>0</v>
      </c>
      <c r="N15" s="191">
        <v>0</v>
      </c>
      <c r="O15" s="191">
        <v>0</v>
      </c>
      <c r="P15" s="191">
        <v>0</v>
      </c>
      <c r="Q15" s="331">
        <v>0</v>
      </c>
      <c r="R15" s="191">
        <v>50</v>
      </c>
      <c r="S15" s="191">
        <v>52</v>
      </c>
      <c r="T15" s="191">
        <v>85</v>
      </c>
      <c r="U15" s="191">
        <v>77</v>
      </c>
      <c r="V15" s="331">
        <f t="shared" si="3"/>
        <v>67.532467532467535</v>
      </c>
    </row>
    <row r="16" spans="1:24" ht="15" customHeight="1" x14ac:dyDescent="0.2">
      <c r="A16" s="65">
        <v>11</v>
      </c>
      <c r="B16" s="66" t="s">
        <v>82</v>
      </c>
      <c r="C16" s="191">
        <v>9</v>
      </c>
      <c r="D16" s="191">
        <v>14</v>
      </c>
      <c r="E16" s="191">
        <v>222</v>
      </c>
      <c r="F16" s="191">
        <v>775</v>
      </c>
      <c r="G16" s="331">
        <f t="shared" si="0"/>
        <v>1.8064516129032258</v>
      </c>
      <c r="H16" s="191">
        <v>44</v>
      </c>
      <c r="I16" s="191">
        <v>72</v>
      </c>
      <c r="J16" s="191">
        <v>73</v>
      </c>
      <c r="K16" s="191">
        <v>337</v>
      </c>
      <c r="L16" s="331">
        <f t="shared" si="1"/>
        <v>21.364985163204746</v>
      </c>
      <c r="M16" s="191">
        <v>0</v>
      </c>
      <c r="N16" s="191">
        <v>0</v>
      </c>
      <c r="O16" s="191">
        <v>0</v>
      </c>
      <c r="P16" s="191">
        <v>0</v>
      </c>
      <c r="Q16" s="331">
        <v>0</v>
      </c>
      <c r="R16" s="191">
        <v>0</v>
      </c>
      <c r="S16" s="191">
        <v>0</v>
      </c>
      <c r="T16" s="191">
        <v>0</v>
      </c>
      <c r="U16" s="191">
        <v>0</v>
      </c>
      <c r="V16" s="331">
        <v>0</v>
      </c>
    </row>
    <row r="17" spans="1:22" ht="15" customHeight="1" x14ac:dyDescent="0.2">
      <c r="A17" s="65">
        <v>12</v>
      </c>
      <c r="B17" s="66" t="s">
        <v>63</v>
      </c>
      <c r="C17" s="191">
        <v>40</v>
      </c>
      <c r="D17" s="191">
        <v>20</v>
      </c>
      <c r="E17" s="191">
        <v>40</v>
      </c>
      <c r="F17" s="191">
        <v>20</v>
      </c>
      <c r="G17" s="331">
        <f t="shared" si="0"/>
        <v>100</v>
      </c>
      <c r="H17" s="191">
        <v>15</v>
      </c>
      <c r="I17" s="191">
        <v>77</v>
      </c>
      <c r="J17" s="191">
        <v>15</v>
      </c>
      <c r="K17" s="191">
        <v>77</v>
      </c>
      <c r="L17" s="331">
        <f t="shared" si="1"/>
        <v>100</v>
      </c>
      <c r="M17" s="191">
        <v>0</v>
      </c>
      <c r="N17" s="191">
        <v>0</v>
      </c>
      <c r="O17" s="191">
        <v>0</v>
      </c>
      <c r="P17" s="191">
        <v>0</v>
      </c>
      <c r="Q17" s="331">
        <v>0</v>
      </c>
      <c r="R17" s="191">
        <v>2</v>
      </c>
      <c r="S17" s="191">
        <v>6</v>
      </c>
      <c r="T17" s="191">
        <v>2</v>
      </c>
      <c r="U17" s="191">
        <v>6</v>
      </c>
      <c r="V17" s="331">
        <f t="shared" si="3"/>
        <v>100</v>
      </c>
    </row>
    <row r="18" spans="1:22" ht="15" customHeight="1" x14ac:dyDescent="0.2">
      <c r="A18" s="65">
        <v>13</v>
      </c>
      <c r="B18" s="66" t="s">
        <v>64</v>
      </c>
      <c r="C18" s="191">
        <v>0</v>
      </c>
      <c r="D18" s="191">
        <v>0</v>
      </c>
      <c r="E18" s="191">
        <v>0</v>
      </c>
      <c r="F18" s="191">
        <v>0</v>
      </c>
      <c r="G18" s="331">
        <v>0</v>
      </c>
      <c r="H18" s="191">
        <v>13</v>
      </c>
      <c r="I18" s="191">
        <v>35</v>
      </c>
      <c r="J18" s="191">
        <v>153</v>
      </c>
      <c r="K18" s="191">
        <v>1224</v>
      </c>
      <c r="L18" s="331">
        <f t="shared" si="1"/>
        <v>2.8594771241830066</v>
      </c>
      <c r="M18" s="191">
        <v>0</v>
      </c>
      <c r="N18" s="191">
        <v>0</v>
      </c>
      <c r="O18" s="191">
        <v>2071</v>
      </c>
      <c r="P18" s="191">
        <v>1832</v>
      </c>
      <c r="Q18" s="331">
        <f t="shared" si="2"/>
        <v>0</v>
      </c>
      <c r="R18" s="191">
        <v>0</v>
      </c>
      <c r="S18" s="191">
        <v>0</v>
      </c>
      <c r="T18" s="191">
        <v>14</v>
      </c>
      <c r="U18" s="191">
        <v>10</v>
      </c>
      <c r="V18" s="331">
        <f t="shared" si="3"/>
        <v>0</v>
      </c>
    </row>
    <row r="19" spans="1:22" ht="15" customHeight="1" x14ac:dyDescent="0.2">
      <c r="A19" s="65">
        <v>14</v>
      </c>
      <c r="B19" s="100" t="s">
        <v>208</v>
      </c>
      <c r="C19" s="191">
        <v>607</v>
      </c>
      <c r="D19" s="191">
        <v>348.34</v>
      </c>
      <c r="E19" s="191">
        <v>1132</v>
      </c>
      <c r="F19" s="191">
        <v>1797.26</v>
      </c>
      <c r="G19" s="331">
        <f t="shared" si="0"/>
        <v>19.38172551550694</v>
      </c>
      <c r="H19" s="191">
        <v>23</v>
      </c>
      <c r="I19" s="191">
        <v>19.91</v>
      </c>
      <c r="J19" s="191">
        <v>95</v>
      </c>
      <c r="K19" s="191">
        <v>325.33</v>
      </c>
      <c r="L19" s="331">
        <f t="shared" si="1"/>
        <v>6.1199397534810807</v>
      </c>
      <c r="M19" s="191">
        <v>415</v>
      </c>
      <c r="N19" s="191">
        <v>289.16000000000003</v>
      </c>
      <c r="O19" s="191">
        <v>2914</v>
      </c>
      <c r="P19" s="191">
        <v>2279.96</v>
      </c>
      <c r="Q19" s="331">
        <f t="shared" si="2"/>
        <v>12.682678643484975</v>
      </c>
      <c r="R19" s="191">
        <v>3</v>
      </c>
      <c r="S19" s="191">
        <v>2.15</v>
      </c>
      <c r="T19" s="191">
        <v>51</v>
      </c>
      <c r="U19" s="191">
        <v>55</v>
      </c>
      <c r="V19" s="331">
        <f t="shared" si="3"/>
        <v>3.9090909090909092</v>
      </c>
    </row>
    <row r="20" spans="1:22" ht="15" customHeight="1" x14ac:dyDescent="0.2">
      <c r="A20" s="65">
        <v>15</v>
      </c>
      <c r="B20" s="66" t="s">
        <v>209</v>
      </c>
      <c r="C20" s="191">
        <v>0</v>
      </c>
      <c r="D20" s="191">
        <v>0</v>
      </c>
      <c r="E20" s="191">
        <v>340</v>
      </c>
      <c r="F20" s="191">
        <v>601.11</v>
      </c>
      <c r="G20" s="331">
        <f t="shared" si="0"/>
        <v>0</v>
      </c>
      <c r="H20" s="191">
        <v>0</v>
      </c>
      <c r="I20" s="191">
        <v>0</v>
      </c>
      <c r="J20" s="191">
        <v>72</v>
      </c>
      <c r="K20" s="191">
        <v>356</v>
      </c>
      <c r="L20" s="331">
        <f t="shared" si="1"/>
        <v>0</v>
      </c>
      <c r="M20" s="191">
        <v>0</v>
      </c>
      <c r="N20" s="191">
        <v>0</v>
      </c>
      <c r="O20" s="191">
        <v>0</v>
      </c>
      <c r="P20" s="191">
        <v>0</v>
      </c>
      <c r="Q20" s="331">
        <v>0</v>
      </c>
      <c r="R20" s="191">
        <v>6</v>
      </c>
      <c r="S20" s="191">
        <v>6</v>
      </c>
      <c r="T20" s="191">
        <v>22</v>
      </c>
      <c r="U20" s="191">
        <v>22.08</v>
      </c>
      <c r="V20" s="331">
        <f t="shared" si="3"/>
        <v>27.173913043478262</v>
      </c>
    </row>
    <row r="21" spans="1:22" ht="15" customHeight="1" x14ac:dyDescent="0.2">
      <c r="A21" s="65">
        <v>16</v>
      </c>
      <c r="B21" s="66" t="s">
        <v>65</v>
      </c>
      <c r="C21" s="191">
        <v>317</v>
      </c>
      <c r="D21" s="191">
        <v>1306</v>
      </c>
      <c r="E21" s="191">
        <v>4552</v>
      </c>
      <c r="F21" s="191">
        <v>17318</v>
      </c>
      <c r="G21" s="331">
        <f>D21*100/F21</f>
        <v>7.5412865226931514</v>
      </c>
      <c r="H21" s="191">
        <v>172</v>
      </c>
      <c r="I21" s="191">
        <v>346</v>
      </c>
      <c r="J21" s="191">
        <v>1048</v>
      </c>
      <c r="K21" s="191">
        <v>4374</v>
      </c>
      <c r="L21" s="331">
        <f>I21*100/K21</f>
        <v>7.9103795153177865</v>
      </c>
      <c r="M21" s="191">
        <v>673</v>
      </c>
      <c r="N21" s="191">
        <v>578</v>
      </c>
      <c r="O21" s="191">
        <v>26907</v>
      </c>
      <c r="P21" s="191">
        <v>21483</v>
      </c>
      <c r="Q21" s="331">
        <f>N21*100/P21</f>
        <v>2.6904994646930129</v>
      </c>
      <c r="R21" s="191">
        <v>556</v>
      </c>
      <c r="S21" s="191">
        <v>437</v>
      </c>
      <c r="T21" s="191">
        <v>2875</v>
      </c>
      <c r="U21" s="191">
        <v>2577</v>
      </c>
      <c r="V21" s="331">
        <f>S21*100/U21</f>
        <v>16.957702755141639</v>
      </c>
    </row>
    <row r="22" spans="1:22" ht="15" customHeight="1" x14ac:dyDescent="0.2">
      <c r="A22" s="65">
        <v>17</v>
      </c>
      <c r="B22" s="100" t="s">
        <v>70</v>
      </c>
      <c r="C22" s="191">
        <v>25</v>
      </c>
      <c r="D22" s="191">
        <v>11.55</v>
      </c>
      <c r="E22" s="191">
        <v>11</v>
      </c>
      <c r="F22" s="191">
        <v>14.8</v>
      </c>
      <c r="G22" s="331">
        <f t="shared" si="0"/>
        <v>78.040540540540533</v>
      </c>
      <c r="H22" s="191">
        <v>0</v>
      </c>
      <c r="I22" s="191">
        <v>0</v>
      </c>
      <c r="J22" s="191">
        <v>0</v>
      </c>
      <c r="K22" s="191">
        <v>0</v>
      </c>
      <c r="L22" s="331">
        <v>0</v>
      </c>
      <c r="M22" s="191">
        <v>0</v>
      </c>
      <c r="N22" s="191">
        <v>0</v>
      </c>
      <c r="O22" s="191">
        <v>0</v>
      </c>
      <c r="P22" s="191">
        <v>0</v>
      </c>
      <c r="Q22" s="331">
        <v>0</v>
      </c>
      <c r="R22" s="191">
        <v>0</v>
      </c>
      <c r="S22" s="191">
        <v>0</v>
      </c>
      <c r="T22" s="191">
        <v>0</v>
      </c>
      <c r="U22" s="191">
        <v>0</v>
      </c>
      <c r="V22" s="331">
        <v>0</v>
      </c>
    </row>
    <row r="23" spans="1:22" ht="15" customHeight="1" x14ac:dyDescent="0.2">
      <c r="A23" s="65">
        <v>18</v>
      </c>
      <c r="B23" s="66" t="s">
        <v>210</v>
      </c>
      <c r="C23" s="191">
        <v>0</v>
      </c>
      <c r="D23" s="191">
        <v>0</v>
      </c>
      <c r="E23" s="191">
        <v>0</v>
      </c>
      <c r="F23" s="191">
        <v>0</v>
      </c>
      <c r="G23" s="331">
        <v>0</v>
      </c>
      <c r="H23" s="191">
        <v>0</v>
      </c>
      <c r="I23" s="191">
        <v>0</v>
      </c>
      <c r="J23" s="191">
        <v>0</v>
      </c>
      <c r="K23" s="191">
        <v>0</v>
      </c>
      <c r="L23" s="331">
        <v>0</v>
      </c>
      <c r="M23" s="191">
        <v>0</v>
      </c>
      <c r="N23" s="191">
        <v>0</v>
      </c>
      <c r="O23" s="191">
        <v>0</v>
      </c>
      <c r="P23" s="191">
        <v>0</v>
      </c>
      <c r="Q23" s="331">
        <v>0</v>
      </c>
      <c r="R23" s="191">
        <v>0</v>
      </c>
      <c r="S23" s="191">
        <v>0</v>
      </c>
      <c r="T23" s="191">
        <v>0</v>
      </c>
      <c r="U23" s="191">
        <v>0</v>
      </c>
      <c r="V23" s="331">
        <v>0</v>
      </c>
    </row>
    <row r="24" spans="1:22" ht="15" customHeight="1" x14ac:dyDescent="0.2">
      <c r="A24" s="65">
        <v>19</v>
      </c>
      <c r="B24" s="101" t="s">
        <v>211</v>
      </c>
      <c r="C24" s="191">
        <v>43</v>
      </c>
      <c r="D24" s="191">
        <v>21</v>
      </c>
      <c r="E24" s="191">
        <v>142</v>
      </c>
      <c r="F24" s="191">
        <v>279</v>
      </c>
      <c r="G24" s="331">
        <f t="shared" si="0"/>
        <v>7.5268817204301079</v>
      </c>
      <c r="H24" s="191">
        <v>1</v>
      </c>
      <c r="I24" s="191">
        <v>1</v>
      </c>
      <c r="J24" s="191">
        <v>1</v>
      </c>
      <c r="K24" s="191">
        <v>1</v>
      </c>
      <c r="L24" s="331">
        <f t="shared" si="1"/>
        <v>100</v>
      </c>
      <c r="M24" s="191">
        <v>0</v>
      </c>
      <c r="N24" s="191">
        <v>0</v>
      </c>
      <c r="O24" s="191">
        <v>0</v>
      </c>
      <c r="P24" s="191">
        <v>0</v>
      </c>
      <c r="Q24" s="331">
        <v>0</v>
      </c>
      <c r="R24" s="191">
        <v>0</v>
      </c>
      <c r="S24" s="191">
        <v>0</v>
      </c>
      <c r="T24" s="191">
        <v>0</v>
      </c>
      <c r="U24" s="191">
        <v>0</v>
      </c>
      <c r="V24" s="331">
        <v>0</v>
      </c>
    </row>
    <row r="25" spans="1:22" ht="15" customHeight="1" x14ac:dyDescent="0.2">
      <c r="A25" s="65">
        <v>20</v>
      </c>
      <c r="B25" s="66" t="s">
        <v>212</v>
      </c>
      <c r="C25" s="191">
        <v>2</v>
      </c>
      <c r="D25" s="191">
        <v>4</v>
      </c>
      <c r="E25" s="191">
        <v>0</v>
      </c>
      <c r="F25" s="191">
        <v>0</v>
      </c>
      <c r="G25" s="331">
        <v>0</v>
      </c>
      <c r="H25" s="191">
        <v>0</v>
      </c>
      <c r="I25" s="191">
        <v>0</v>
      </c>
      <c r="J25" s="191">
        <v>0</v>
      </c>
      <c r="K25" s="191">
        <v>0</v>
      </c>
      <c r="L25" s="331">
        <v>0</v>
      </c>
      <c r="M25" s="191">
        <v>0</v>
      </c>
      <c r="N25" s="191">
        <v>0</v>
      </c>
      <c r="O25" s="191">
        <v>0</v>
      </c>
      <c r="P25" s="191">
        <v>0</v>
      </c>
      <c r="Q25" s="331">
        <v>0</v>
      </c>
      <c r="R25" s="191">
        <v>0</v>
      </c>
      <c r="S25" s="191">
        <v>0</v>
      </c>
      <c r="T25" s="191">
        <v>0</v>
      </c>
      <c r="U25" s="191">
        <v>0</v>
      </c>
      <c r="V25" s="331">
        <v>0</v>
      </c>
    </row>
    <row r="26" spans="1:22" ht="15" customHeight="1" x14ac:dyDescent="0.2">
      <c r="A26" s="65">
        <v>21</v>
      </c>
      <c r="B26" s="66" t="s">
        <v>213</v>
      </c>
      <c r="C26" s="191">
        <v>0</v>
      </c>
      <c r="D26" s="191">
        <v>0</v>
      </c>
      <c r="E26" s="191">
        <v>0</v>
      </c>
      <c r="F26" s="191">
        <v>0</v>
      </c>
      <c r="G26" s="331">
        <v>0</v>
      </c>
      <c r="H26" s="191">
        <v>0</v>
      </c>
      <c r="I26" s="191">
        <v>0</v>
      </c>
      <c r="J26" s="191">
        <v>0</v>
      </c>
      <c r="K26" s="191">
        <v>0</v>
      </c>
      <c r="L26" s="331">
        <v>0</v>
      </c>
      <c r="M26" s="191">
        <v>0</v>
      </c>
      <c r="N26" s="191">
        <v>0</v>
      </c>
      <c r="O26" s="191">
        <v>0</v>
      </c>
      <c r="P26" s="191">
        <v>0</v>
      </c>
      <c r="Q26" s="331">
        <v>0</v>
      </c>
      <c r="R26" s="191">
        <v>0</v>
      </c>
      <c r="S26" s="191">
        <v>0</v>
      </c>
      <c r="T26" s="191">
        <v>0</v>
      </c>
      <c r="U26" s="191">
        <v>0</v>
      </c>
      <c r="V26" s="331">
        <v>0</v>
      </c>
    </row>
    <row r="27" spans="1:22" s="200" customFormat="1" ht="15" customHeight="1" x14ac:dyDescent="0.2">
      <c r="A27" s="65">
        <v>22</v>
      </c>
      <c r="B27" s="66" t="s">
        <v>71</v>
      </c>
      <c r="C27" s="191">
        <v>3525</v>
      </c>
      <c r="D27" s="191">
        <v>2600</v>
      </c>
      <c r="E27" s="191">
        <v>19541</v>
      </c>
      <c r="F27" s="191">
        <v>31960</v>
      </c>
      <c r="G27" s="331">
        <f t="shared" si="0"/>
        <v>8.1351689612015026</v>
      </c>
      <c r="H27" s="191">
        <v>681</v>
      </c>
      <c r="I27" s="191">
        <v>856</v>
      </c>
      <c r="J27" s="191">
        <v>2444</v>
      </c>
      <c r="K27" s="191">
        <v>6508</v>
      </c>
      <c r="L27" s="331">
        <f t="shared" si="1"/>
        <v>13.153042409342348</v>
      </c>
      <c r="M27" s="191">
        <v>11551</v>
      </c>
      <c r="N27" s="191">
        <v>8155</v>
      </c>
      <c r="O27" s="191">
        <v>109011</v>
      </c>
      <c r="P27" s="191">
        <v>82039</v>
      </c>
      <c r="Q27" s="331">
        <f t="shared" si="2"/>
        <v>9.9403942027572256</v>
      </c>
      <c r="R27" s="191">
        <v>855</v>
      </c>
      <c r="S27" s="191">
        <v>1311</v>
      </c>
      <c r="T27" s="191">
        <v>2824</v>
      </c>
      <c r="U27" s="191">
        <v>3035</v>
      </c>
      <c r="V27" s="331">
        <f t="shared" si="3"/>
        <v>43.196046128500825</v>
      </c>
    </row>
    <row r="28" spans="1:22" ht="15" customHeight="1" x14ac:dyDescent="0.2">
      <c r="A28" s="65">
        <v>23</v>
      </c>
      <c r="B28" s="66" t="s">
        <v>66</v>
      </c>
      <c r="C28" s="191">
        <v>178</v>
      </c>
      <c r="D28" s="191">
        <v>64</v>
      </c>
      <c r="E28" s="191">
        <v>3401</v>
      </c>
      <c r="F28" s="191">
        <v>1316</v>
      </c>
      <c r="G28" s="331">
        <f t="shared" si="0"/>
        <v>4.86322188449848</v>
      </c>
      <c r="H28" s="191">
        <v>15</v>
      </c>
      <c r="I28" s="191">
        <v>45</v>
      </c>
      <c r="J28" s="191">
        <v>35</v>
      </c>
      <c r="K28" s="191">
        <v>88</v>
      </c>
      <c r="L28" s="331">
        <f t="shared" si="1"/>
        <v>51.136363636363633</v>
      </c>
      <c r="M28" s="191">
        <v>706</v>
      </c>
      <c r="N28" s="191">
        <v>628</v>
      </c>
      <c r="O28" s="191">
        <v>3502</v>
      </c>
      <c r="P28" s="191">
        <v>2795</v>
      </c>
      <c r="Q28" s="331">
        <f t="shared" si="2"/>
        <v>22.468694096601073</v>
      </c>
      <c r="R28" s="191">
        <v>91</v>
      </c>
      <c r="S28" s="191">
        <v>45</v>
      </c>
      <c r="T28" s="191">
        <v>109</v>
      </c>
      <c r="U28" s="191">
        <v>48</v>
      </c>
      <c r="V28" s="331">
        <f t="shared" si="3"/>
        <v>93.75</v>
      </c>
    </row>
    <row r="29" spans="1:22" ht="15" customHeight="1" x14ac:dyDescent="0.2">
      <c r="A29" s="65">
        <v>24</v>
      </c>
      <c r="B29" s="66" t="s">
        <v>214</v>
      </c>
      <c r="C29" s="191">
        <v>330</v>
      </c>
      <c r="D29" s="191">
        <v>298.22000000000003</v>
      </c>
      <c r="E29" s="191">
        <v>1889</v>
      </c>
      <c r="F29" s="191">
        <v>1803.36</v>
      </c>
      <c r="G29" s="331">
        <f t="shared" si="0"/>
        <v>16.53690888119954</v>
      </c>
      <c r="H29" s="191">
        <v>93</v>
      </c>
      <c r="I29" s="191">
        <v>172.67</v>
      </c>
      <c r="J29" s="191">
        <v>1721</v>
      </c>
      <c r="K29" s="191">
        <v>1626.46</v>
      </c>
      <c r="L29" s="331">
        <f t="shared" si="1"/>
        <v>10.61630780959876</v>
      </c>
      <c r="M29" s="191">
        <v>0</v>
      </c>
      <c r="N29" s="191">
        <v>0</v>
      </c>
      <c r="O29" s="191">
        <v>0</v>
      </c>
      <c r="P29" s="191">
        <v>0</v>
      </c>
      <c r="Q29" s="331">
        <v>0</v>
      </c>
      <c r="R29" s="191">
        <v>1422</v>
      </c>
      <c r="S29" s="191">
        <v>938.32</v>
      </c>
      <c r="T29" s="191">
        <v>2072</v>
      </c>
      <c r="U29" s="191">
        <v>1497.36</v>
      </c>
      <c r="V29" s="331">
        <f t="shared" si="3"/>
        <v>62.664956990970779</v>
      </c>
    </row>
    <row r="30" spans="1:22" ht="15" customHeight="1" x14ac:dyDescent="0.2">
      <c r="A30" s="65">
        <v>25</v>
      </c>
      <c r="B30" s="66" t="s">
        <v>67</v>
      </c>
      <c r="C30" s="191">
        <v>616</v>
      </c>
      <c r="D30" s="191">
        <v>75.91</v>
      </c>
      <c r="E30" s="191">
        <v>3515</v>
      </c>
      <c r="F30" s="191">
        <v>9920.2099999999991</v>
      </c>
      <c r="G30" s="331">
        <f t="shared" si="0"/>
        <v>0.76520557528520072</v>
      </c>
      <c r="H30" s="191">
        <v>54</v>
      </c>
      <c r="I30" s="191">
        <v>191.25</v>
      </c>
      <c r="J30" s="191">
        <v>865</v>
      </c>
      <c r="K30" s="191">
        <v>2612</v>
      </c>
      <c r="L30" s="331">
        <f t="shared" si="1"/>
        <v>7.3219754977029092</v>
      </c>
      <c r="M30" s="191">
        <v>2427</v>
      </c>
      <c r="N30" s="191">
        <v>1359.92</v>
      </c>
      <c r="O30" s="191">
        <v>25314</v>
      </c>
      <c r="P30" s="191">
        <v>17958.689999999999</v>
      </c>
      <c r="Q30" s="331">
        <f t="shared" si="2"/>
        <v>7.5724899756051256</v>
      </c>
      <c r="R30" s="191">
        <v>1456</v>
      </c>
      <c r="S30" s="191">
        <v>1021.65</v>
      </c>
      <c r="T30" s="191">
        <v>7386</v>
      </c>
      <c r="U30" s="191">
        <v>5567.59</v>
      </c>
      <c r="V30" s="331">
        <f t="shared" si="3"/>
        <v>18.349950337578736</v>
      </c>
    </row>
    <row r="31" spans="1:22" ht="15" customHeight="1" x14ac:dyDescent="0.2">
      <c r="A31" s="65">
        <v>26</v>
      </c>
      <c r="B31" s="199" t="s">
        <v>68</v>
      </c>
      <c r="C31" s="191">
        <v>31</v>
      </c>
      <c r="D31" s="191">
        <v>19</v>
      </c>
      <c r="E31" s="191">
        <v>128</v>
      </c>
      <c r="F31" s="191">
        <v>19.190000000000001</v>
      </c>
      <c r="G31" s="331">
        <f t="shared" si="0"/>
        <v>99.009900990098998</v>
      </c>
      <c r="H31" s="191">
        <v>4</v>
      </c>
      <c r="I31" s="191">
        <v>2</v>
      </c>
      <c r="J31" s="191">
        <v>10</v>
      </c>
      <c r="K31" s="191">
        <v>18</v>
      </c>
      <c r="L31" s="331">
        <f t="shared" si="1"/>
        <v>11.111111111111111</v>
      </c>
      <c r="M31" s="191">
        <v>0</v>
      </c>
      <c r="N31" s="191">
        <v>0</v>
      </c>
      <c r="O31" s="191">
        <v>0</v>
      </c>
      <c r="P31" s="191">
        <v>0</v>
      </c>
      <c r="Q31" s="331">
        <v>0</v>
      </c>
      <c r="R31" s="191">
        <v>0</v>
      </c>
      <c r="S31" s="191">
        <v>0</v>
      </c>
      <c r="T31" s="191">
        <v>0</v>
      </c>
      <c r="U31" s="191">
        <v>0</v>
      </c>
      <c r="V31" s="331">
        <v>0</v>
      </c>
    </row>
    <row r="32" spans="1:22" ht="15" customHeight="1" x14ac:dyDescent="0.2">
      <c r="A32" s="65">
        <v>27</v>
      </c>
      <c r="B32" s="66" t="s">
        <v>51</v>
      </c>
      <c r="C32" s="191">
        <v>339</v>
      </c>
      <c r="D32" s="191">
        <v>276</v>
      </c>
      <c r="E32" s="191">
        <v>1524</v>
      </c>
      <c r="F32" s="191">
        <v>3348</v>
      </c>
      <c r="G32" s="331">
        <f t="shared" si="0"/>
        <v>8.2437275985663074</v>
      </c>
      <c r="H32" s="191">
        <v>37</v>
      </c>
      <c r="I32" s="191">
        <v>221</v>
      </c>
      <c r="J32" s="191">
        <v>187</v>
      </c>
      <c r="K32" s="191">
        <v>1119</v>
      </c>
      <c r="L32" s="331">
        <f t="shared" si="1"/>
        <v>19.749776586237711</v>
      </c>
      <c r="M32" s="191">
        <v>0</v>
      </c>
      <c r="N32" s="191">
        <v>0</v>
      </c>
      <c r="O32" s="191">
        <v>0</v>
      </c>
      <c r="P32" s="191">
        <v>0</v>
      </c>
      <c r="Q32" s="331">
        <v>0</v>
      </c>
      <c r="R32" s="191">
        <v>4</v>
      </c>
      <c r="S32" s="191">
        <v>2.4900000000000002</v>
      </c>
      <c r="T32" s="191">
        <v>36</v>
      </c>
      <c r="U32" s="191">
        <v>15.3</v>
      </c>
      <c r="V32" s="331">
        <f t="shared" si="3"/>
        <v>16.274509803921571</v>
      </c>
    </row>
    <row r="33" spans="1:22" s="200" customFormat="1" ht="15" customHeight="1" x14ac:dyDescent="0.2">
      <c r="A33" s="298" t="s">
        <v>488</v>
      </c>
      <c r="B33" s="68" t="s">
        <v>407</v>
      </c>
      <c r="C33" s="193">
        <f>SUM(C6:C32)</f>
        <v>8382</v>
      </c>
      <c r="D33" s="193">
        <f t="shared" ref="D33:U33" si="4">SUM(D6:D32)</f>
        <v>9236.17</v>
      </c>
      <c r="E33" s="193">
        <f t="shared" si="4"/>
        <v>71689</v>
      </c>
      <c r="F33" s="193">
        <f t="shared" si="4"/>
        <v>173258.92999999996</v>
      </c>
      <c r="G33" s="334">
        <f t="shared" si="0"/>
        <v>5.3308478818378955</v>
      </c>
      <c r="H33" s="193">
        <f t="shared" si="4"/>
        <v>2156</v>
      </c>
      <c r="I33" s="193">
        <f t="shared" si="4"/>
        <v>4842.5</v>
      </c>
      <c r="J33" s="193">
        <f t="shared" si="4"/>
        <v>14287</v>
      </c>
      <c r="K33" s="193">
        <f t="shared" si="4"/>
        <v>61208.76</v>
      </c>
      <c r="L33" s="334">
        <f t="shared" si="1"/>
        <v>7.9114492762147117</v>
      </c>
      <c r="M33" s="193">
        <f t="shared" si="4"/>
        <v>32365</v>
      </c>
      <c r="N33" s="193">
        <f t="shared" si="4"/>
        <v>16808.900000000001</v>
      </c>
      <c r="O33" s="193">
        <f t="shared" si="4"/>
        <v>352441</v>
      </c>
      <c r="P33" s="193">
        <f t="shared" si="4"/>
        <v>200860.88</v>
      </c>
      <c r="Q33" s="334">
        <f t="shared" si="2"/>
        <v>8.3684289344943643</v>
      </c>
      <c r="R33" s="193">
        <f t="shared" si="4"/>
        <v>5065</v>
      </c>
      <c r="S33" s="193">
        <f t="shared" si="4"/>
        <v>4622.54</v>
      </c>
      <c r="T33" s="193">
        <f t="shared" si="4"/>
        <v>28589</v>
      </c>
      <c r="U33" s="193">
        <f t="shared" si="4"/>
        <v>22128.51</v>
      </c>
      <c r="V33" s="334">
        <f t="shared" si="3"/>
        <v>20.889522159422395</v>
      </c>
    </row>
    <row r="34" spans="1:22" s="200" customFormat="1" ht="15" customHeight="1" x14ac:dyDescent="0.2">
      <c r="A34" s="65">
        <v>28</v>
      </c>
      <c r="B34" s="66" t="s">
        <v>48</v>
      </c>
      <c r="C34" s="191">
        <v>13</v>
      </c>
      <c r="D34" s="191">
        <v>8.43</v>
      </c>
      <c r="E34" s="191">
        <v>81</v>
      </c>
      <c r="F34" s="191">
        <v>218.71</v>
      </c>
      <c r="G34" s="331">
        <f t="shared" si="0"/>
        <v>3.8544190937771479</v>
      </c>
      <c r="H34" s="191">
        <v>0</v>
      </c>
      <c r="I34" s="191">
        <v>0</v>
      </c>
      <c r="J34" s="191">
        <v>0</v>
      </c>
      <c r="K34" s="191">
        <v>0</v>
      </c>
      <c r="L34" s="331">
        <v>0</v>
      </c>
      <c r="M34" s="191">
        <v>0</v>
      </c>
      <c r="N34" s="191">
        <v>0</v>
      </c>
      <c r="O34" s="191">
        <v>0</v>
      </c>
      <c r="P34" s="191">
        <v>0</v>
      </c>
      <c r="Q34" s="331">
        <v>0</v>
      </c>
      <c r="R34" s="191">
        <v>0</v>
      </c>
      <c r="S34" s="191">
        <v>0</v>
      </c>
      <c r="T34" s="191">
        <v>4</v>
      </c>
      <c r="U34" s="191">
        <v>0.89</v>
      </c>
      <c r="V34" s="331">
        <f t="shared" si="3"/>
        <v>0</v>
      </c>
    </row>
    <row r="35" spans="1:22" ht="15" customHeight="1" x14ac:dyDescent="0.2">
      <c r="A35" s="65">
        <v>29</v>
      </c>
      <c r="B35" s="66" t="s">
        <v>216</v>
      </c>
      <c r="C35" s="191">
        <v>0</v>
      </c>
      <c r="D35" s="191">
        <v>0</v>
      </c>
      <c r="E35" s="191">
        <v>0</v>
      </c>
      <c r="F35" s="191">
        <v>0</v>
      </c>
      <c r="G35" s="331">
        <v>0</v>
      </c>
      <c r="H35" s="191">
        <v>0</v>
      </c>
      <c r="I35" s="191">
        <v>0</v>
      </c>
      <c r="J35" s="191">
        <v>0</v>
      </c>
      <c r="K35" s="191">
        <v>0</v>
      </c>
      <c r="L35" s="331">
        <v>0</v>
      </c>
      <c r="M35" s="191">
        <v>0</v>
      </c>
      <c r="N35" s="191">
        <v>0</v>
      </c>
      <c r="O35" s="191">
        <v>0</v>
      </c>
      <c r="P35" s="191">
        <v>0</v>
      </c>
      <c r="Q35" s="331">
        <v>0</v>
      </c>
      <c r="R35" s="191">
        <v>0</v>
      </c>
      <c r="S35" s="191">
        <v>0</v>
      </c>
      <c r="T35" s="191">
        <v>0</v>
      </c>
      <c r="U35" s="191">
        <v>0</v>
      </c>
      <c r="V35" s="331">
        <v>0</v>
      </c>
    </row>
    <row r="36" spans="1:22" ht="15" customHeight="1" x14ac:dyDescent="0.2">
      <c r="A36" s="65">
        <v>30</v>
      </c>
      <c r="B36" s="66" t="s">
        <v>217</v>
      </c>
      <c r="C36" s="191">
        <v>0</v>
      </c>
      <c r="D36" s="191">
        <v>0</v>
      </c>
      <c r="E36" s="191">
        <v>0</v>
      </c>
      <c r="F36" s="191">
        <v>0</v>
      </c>
      <c r="G36" s="331">
        <v>0</v>
      </c>
      <c r="H36" s="191">
        <v>0</v>
      </c>
      <c r="I36" s="191">
        <v>0</v>
      </c>
      <c r="J36" s="191">
        <v>0</v>
      </c>
      <c r="K36" s="191">
        <v>0</v>
      </c>
      <c r="L36" s="331">
        <v>0</v>
      </c>
      <c r="M36" s="191">
        <v>0</v>
      </c>
      <c r="N36" s="191">
        <v>0</v>
      </c>
      <c r="O36" s="191">
        <v>0</v>
      </c>
      <c r="P36" s="191">
        <v>0</v>
      </c>
      <c r="Q36" s="331">
        <v>0</v>
      </c>
      <c r="R36" s="191">
        <v>0</v>
      </c>
      <c r="S36" s="191">
        <v>0</v>
      </c>
      <c r="T36" s="191">
        <v>0</v>
      </c>
      <c r="U36" s="191">
        <v>0</v>
      </c>
      <c r="V36" s="331">
        <v>0</v>
      </c>
    </row>
    <row r="37" spans="1:22" ht="15" customHeight="1" x14ac:dyDescent="0.2">
      <c r="A37" s="65">
        <v>31</v>
      </c>
      <c r="B37" s="66" t="s">
        <v>79</v>
      </c>
      <c r="C37" s="191">
        <v>0</v>
      </c>
      <c r="D37" s="191">
        <v>0</v>
      </c>
      <c r="E37" s="191">
        <v>0</v>
      </c>
      <c r="F37" s="191">
        <v>0</v>
      </c>
      <c r="G37" s="331">
        <v>0</v>
      </c>
      <c r="H37" s="191">
        <v>0</v>
      </c>
      <c r="I37" s="191">
        <v>0</v>
      </c>
      <c r="J37" s="191">
        <v>0</v>
      </c>
      <c r="K37" s="191">
        <v>0</v>
      </c>
      <c r="L37" s="331">
        <v>0</v>
      </c>
      <c r="M37" s="191">
        <v>0</v>
      </c>
      <c r="N37" s="191">
        <v>0</v>
      </c>
      <c r="O37" s="191">
        <v>0</v>
      </c>
      <c r="P37" s="191">
        <v>0</v>
      </c>
      <c r="Q37" s="331">
        <v>0</v>
      </c>
      <c r="R37" s="191">
        <v>0</v>
      </c>
      <c r="S37" s="191">
        <v>0</v>
      </c>
      <c r="T37" s="191">
        <v>0</v>
      </c>
      <c r="U37" s="191">
        <v>0</v>
      </c>
      <c r="V37" s="331">
        <v>0</v>
      </c>
    </row>
    <row r="38" spans="1:22" ht="15" customHeight="1" x14ac:dyDescent="0.2">
      <c r="A38" s="65">
        <v>32</v>
      </c>
      <c r="B38" s="66" t="s">
        <v>52</v>
      </c>
      <c r="C38" s="191">
        <v>0</v>
      </c>
      <c r="D38" s="191">
        <v>0</v>
      </c>
      <c r="E38" s="191">
        <v>0</v>
      </c>
      <c r="F38" s="191">
        <v>0</v>
      </c>
      <c r="G38" s="331">
        <v>0</v>
      </c>
      <c r="H38" s="191">
        <v>0</v>
      </c>
      <c r="I38" s="191">
        <v>0</v>
      </c>
      <c r="J38" s="191">
        <v>0</v>
      </c>
      <c r="K38" s="191">
        <v>0</v>
      </c>
      <c r="L38" s="331">
        <v>0</v>
      </c>
      <c r="M38" s="191">
        <v>0</v>
      </c>
      <c r="N38" s="191">
        <v>0</v>
      </c>
      <c r="O38" s="191">
        <v>0</v>
      </c>
      <c r="P38" s="191">
        <v>0</v>
      </c>
      <c r="Q38" s="331">
        <v>0</v>
      </c>
      <c r="R38" s="191">
        <v>0</v>
      </c>
      <c r="S38" s="191">
        <v>0</v>
      </c>
      <c r="T38" s="191">
        <v>0</v>
      </c>
      <c r="U38" s="191">
        <v>0</v>
      </c>
      <c r="V38" s="331">
        <v>0</v>
      </c>
    </row>
    <row r="39" spans="1:22" ht="15" customHeight="1" x14ac:dyDescent="0.2">
      <c r="A39" s="65">
        <v>33</v>
      </c>
      <c r="B39" s="66" t="s">
        <v>218</v>
      </c>
      <c r="C39" s="191">
        <v>0</v>
      </c>
      <c r="D39" s="191">
        <v>0</v>
      </c>
      <c r="E39" s="191">
        <v>0</v>
      </c>
      <c r="F39" s="191">
        <v>0</v>
      </c>
      <c r="G39" s="331">
        <v>0</v>
      </c>
      <c r="H39" s="191">
        <v>0</v>
      </c>
      <c r="I39" s="191">
        <v>0</v>
      </c>
      <c r="J39" s="191">
        <v>0</v>
      </c>
      <c r="K39" s="191">
        <v>0</v>
      </c>
      <c r="L39" s="331">
        <v>0</v>
      </c>
      <c r="M39" s="191">
        <v>0</v>
      </c>
      <c r="N39" s="191">
        <v>0</v>
      </c>
      <c r="O39" s="191">
        <v>0</v>
      </c>
      <c r="P39" s="191">
        <v>0</v>
      </c>
      <c r="Q39" s="331">
        <v>0</v>
      </c>
      <c r="R39" s="191">
        <v>0</v>
      </c>
      <c r="S39" s="191">
        <v>0</v>
      </c>
      <c r="T39" s="191">
        <v>0</v>
      </c>
      <c r="U39" s="191">
        <v>0</v>
      </c>
      <c r="V39" s="331">
        <v>0</v>
      </c>
    </row>
    <row r="40" spans="1:22" ht="15" customHeight="1" x14ac:dyDescent="0.2">
      <c r="A40" s="65">
        <v>34</v>
      </c>
      <c r="B40" s="66" t="s">
        <v>219</v>
      </c>
      <c r="C40" s="191">
        <v>0</v>
      </c>
      <c r="D40" s="191">
        <v>0</v>
      </c>
      <c r="E40" s="191">
        <v>0</v>
      </c>
      <c r="F40" s="191">
        <v>0</v>
      </c>
      <c r="G40" s="331">
        <v>0</v>
      </c>
      <c r="H40" s="191">
        <v>0</v>
      </c>
      <c r="I40" s="191">
        <v>0</v>
      </c>
      <c r="J40" s="191">
        <v>0</v>
      </c>
      <c r="K40" s="191">
        <v>0</v>
      </c>
      <c r="L40" s="331">
        <v>0</v>
      </c>
      <c r="M40" s="191">
        <v>0</v>
      </c>
      <c r="N40" s="191">
        <v>0</v>
      </c>
      <c r="O40" s="191">
        <v>0</v>
      </c>
      <c r="P40" s="191">
        <v>0</v>
      </c>
      <c r="Q40" s="331">
        <v>0</v>
      </c>
      <c r="R40" s="191">
        <v>0</v>
      </c>
      <c r="S40" s="191">
        <v>0</v>
      </c>
      <c r="T40" s="191">
        <v>0</v>
      </c>
      <c r="U40" s="191">
        <v>0</v>
      </c>
      <c r="V40" s="331">
        <v>0</v>
      </c>
    </row>
    <row r="41" spans="1:22" ht="15" customHeight="1" x14ac:dyDescent="0.2">
      <c r="A41" s="65">
        <v>35</v>
      </c>
      <c r="B41" s="66" t="s">
        <v>220</v>
      </c>
      <c r="C41" s="191">
        <v>0</v>
      </c>
      <c r="D41" s="191">
        <v>0</v>
      </c>
      <c r="E41" s="191">
        <v>0</v>
      </c>
      <c r="F41" s="191">
        <v>0</v>
      </c>
      <c r="G41" s="331">
        <v>0</v>
      </c>
      <c r="H41" s="191">
        <v>0</v>
      </c>
      <c r="I41" s="191">
        <v>0</v>
      </c>
      <c r="J41" s="191">
        <v>0</v>
      </c>
      <c r="K41" s="191">
        <v>0</v>
      </c>
      <c r="L41" s="331">
        <v>0</v>
      </c>
      <c r="M41" s="191">
        <v>0</v>
      </c>
      <c r="N41" s="191">
        <v>0</v>
      </c>
      <c r="O41" s="191">
        <v>0</v>
      </c>
      <c r="P41" s="191">
        <v>0</v>
      </c>
      <c r="Q41" s="331">
        <v>0</v>
      </c>
      <c r="R41" s="191">
        <v>0</v>
      </c>
      <c r="S41" s="191">
        <v>0</v>
      </c>
      <c r="T41" s="191">
        <v>0</v>
      </c>
      <c r="U41" s="191">
        <v>0</v>
      </c>
      <c r="V41" s="331">
        <v>0</v>
      </c>
    </row>
    <row r="42" spans="1:22" ht="15" customHeight="1" x14ac:dyDescent="0.2">
      <c r="A42" s="65">
        <v>36</v>
      </c>
      <c r="B42" s="66" t="s">
        <v>72</v>
      </c>
      <c r="C42" s="191">
        <v>4</v>
      </c>
      <c r="D42" s="191">
        <v>1.28</v>
      </c>
      <c r="E42" s="191">
        <v>56</v>
      </c>
      <c r="F42" s="191">
        <v>54.75</v>
      </c>
      <c r="G42" s="331">
        <f t="shared" si="0"/>
        <v>2.3378995433789953</v>
      </c>
      <c r="H42" s="191">
        <v>0</v>
      </c>
      <c r="I42" s="191">
        <v>0</v>
      </c>
      <c r="J42" s="191">
        <v>0</v>
      </c>
      <c r="K42" s="191">
        <v>0</v>
      </c>
      <c r="L42" s="331">
        <v>0</v>
      </c>
      <c r="M42" s="191">
        <v>0</v>
      </c>
      <c r="N42" s="191">
        <v>0</v>
      </c>
      <c r="O42" s="191">
        <v>0</v>
      </c>
      <c r="P42" s="191">
        <v>0</v>
      </c>
      <c r="Q42" s="331">
        <v>0</v>
      </c>
      <c r="R42" s="191">
        <v>0</v>
      </c>
      <c r="S42" s="191">
        <v>0</v>
      </c>
      <c r="T42" s="191">
        <v>0</v>
      </c>
      <c r="U42" s="191">
        <v>0</v>
      </c>
      <c r="V42" s="331">
        <v>0</v>
      </c>
    </row>
    <row r="43" spans="1:22" ht="15" customHeight="1" x14ac:dyDescent="0.2">
      <c r="A43" s="65">
        <v>37</v>
      </c>
      <c r="B43" s="66" t="s">
        <v>73</v>
      </c>
      <c r="C43" s="191">
        <v>0</v>
      </c>
      <c r="D43" s="191">
        <v>0</v>
      </c>
      <c r="E43" s="191">
        <v>0</v>
      </c>
      <c r="F43" s="191">
        <v>0</v>
      </c>
      <c r="G43" s="331">
        <v>0</v>
      </c>
      <c r="H43" s="191">
        <v>0</v>
      </c>
      <c r="I43" s="191">
        <v>0</v>
      </c>
      <c r="J43" s="191">
        <v>0</v>
      </c>
      <c r="K43" s="191">
        <v>0</v>
      </c>
      <c r="L43" s="331">
        <v>0</v>
      </c>
      <c r="M43" s="191">
        <v>0</v>
      </c>
      <c r="N43" s="191">
        <v>0</v>
      </c>
      <c r="O43" s="191">
        <v>0</v>
      </c>
      <c r="P43" s="191">
        <v>0</v>
      </c>
      <c r="Q43" s="331">
        <v>0</v>
      </c>
      <c r="R43" s="191">
        <v>405</v>
      </c>
      <c r="S43" s="191">
        <v>254</v>
      </c>
      <c r="T43" s="191">
        <v>5905</v>
      </c>
      <c r="U43" s="191">
        <v>3298.64</v>
      </c>
      <c r="V43" s="331">
        <f t="shared" si="3"/>
        <v>7.7001430892731557</v>
      </c>
    </row>
    <row r="44" spans="1:22" ht="15" customHeight="1" x14ac:dyDescent="0.2">
      <c r="A44" s="65">
        <v>38</v>
      </c>
      <c r="B44" s="66" t="s">
        <v>221</v>
      </c>
      <c r="C44" s="191">
        <v>0</v>
      </c>
      <c r="D44" s="191">
        <v>0</v>
      </c>
      <c r="E44" s="191">
        <v>0</v>
      </c>
      <c r="F44" s="191">
        <v>0</v>
      </c>
      <c r="G44" s="331">
        <v>0</v>
      </c>
      <c r="H44" s="191">
        <v>0</v>
      </c>
      <c r="I44" s="191">
        <v>0</v>
      </c>
      <c r="J44" s="191">
        <v>0</v>
      </c>
      <c r="K44" s="191">
        <v>0</v>
      </c>
      <c r="L44" s="331">
        <v>0</v>
      </c>
      <c r="M44" s="191">
        <v>0</v>
      </c>
      <c r="N44" s="191">
        <v>0</v>
      </c>
      <c r="O44" s="191">
        <v>0</v>
      </c>
      <c r="P44" s="191">
        <v>0</v>
      </c>
      <c r="Q44" s="331">
        <v>0</v>
      </c>
      <c r="R44" s="191">
        <v>0</v>
      </c>
      <c r="S44" s="191">
        <v>0</v>
      </c>
      <c r="T44" s="191">
        <v>0</v>
      </c>
      <c r="U44" s="191">
        <v>0</v>
      </c>
      <c r="V44" s="331">
        <v>0</v>
      </c>
    </row>
    <row r="45" spans="1:22" ht="15" customHeight="1" x14ac:dyDescent="0.2">
      <c r="A45" s="65">
        <v>39</v>
      </c>
      <c r="B45" s="66" t="s">
        <v>222</v>
      </c>
      <c r="C45" s="191">
        <v>0</v>
      </c>
      <c r="D45" s="191">
        <v>0</v>
      </c>
      <c r="E45" s="191">
        <v>0</v>
      </c>
      <c r="F45" s="191">
        <v>0</v>
      </c>
      <c r="G45" s="331">
        <v>0</v>
      </c>
      <c r="H45" s="191">
        <v>0</v>
      </c>
      <c r="I45" s="191">
        <v>0</v>
      </c>
      <c r="J45" s="191">
        <v>0</v>
      </c>
      <c r="K45" s="191">
        <v>0</v>
      </c>
      <c r="L45" s="331">
        <v>0</v>
      </c>
      <c r="M45" s="191">
        <v>0</v>
      </c>
      <c r="N45" s="191">
        <v>0</v>
      </c>
      <c r="O45" s="191">
        <v>0</v>
      </c>
      <c r="P45" s="191">
        <v>0</v>
      </c>
      <c r="Q45" s="331">
        <v>0</v>
      </c>
      <c r="R45" s="191">
        <v>0</v>
      </c>
      <c r="S45" s="191">
        <v>0</v>
      </c>
      <c r="T45" s="191">
        <v>0</v>
      </c>
      <c r="U45" s="191">
        <v>0</v>
      </c>
      <c r="V45" s="331">
        <v>0</v>
      </c>
    </row>
    <row r="46" spans="1:22" ht="15" customHeight="1" x14ac:dyDescent="0.2">
      <c r="A46" s="65">
        <v>40</v>
      </c>
      <c r="B46" s="66" t="s">
        <v>223</v>
      </c>
      <c r="C46" s="191">
        <v>0</v>
      </c>
      <c r="D46" s="191">
        <v>0</v>
      </c>
      <c r="E46" s="191">
        <v>0</v>
      </c>
      <c r="F46" s="191">
        <v>0</v>
      </c>
      <c r="G46" s="331">
        <v>0</v>
      </c>
      <c r="H46" s="191">
        <v>0</v>
      </c>
      <c r="I46" s="191">
        <v>0</v>
      </c>
      <c r="J46" s="191">
        <v>0</v>
      </c>
      <c r="K46" s="191">
        <v>0</v>
      </c>
      <c r="L46" s="331">
        <v>0</v>
      </c>
      <c r="M46" s="191">
        <v>0</v>
      </c>
      <c r="N46" s="191">
        <v>0</v>
      </c>
      <c r="O46" s="191">
        <v>0</v>
      </c>
      <c r="P46" s="191">
        <v>0</v>
      </c>
      <c r="Q46" s="331">
        <v>0</v>
      </c>
      <c r="R46" s="191">
        <v>0</v>
      </c>
      <c r="S46" s="191">
        <v>0</v>
      </c>
      <c r="T46" s="191">
        <v>0</v>
      </c>
      <c r="U46" s="191">
        <v>0</v>
      </c>
      <c r="V46" s="331">
        <v>0</v>
      </c>
    </row>
    <row r="47" spans="1:22" ht="15" customHeight="1" x14ac:dyDescent="0.2">
      <c r="A47" s="65">
        <v>41</v>
      </c>
      <c r="B47" s="66" t="s">
        <v>224</v>
      </c>
      <c r="C47" s="191">
        <v>0</v>
      </c>
      <c r="D47" s="191">
        <v>0</v>
      </c>
      <c r="E47" s="191">
        <v>0</v>
      </c>
      <c r="F47" s="191">
        <v>0</v>
      </c>
      <c r="G47" s="331">
        <v>0</v>
      </c>
      <c r="H47" s="191">
        <v>0</v>
      </c>
      <c r="I47" s="191">
        <v>0</v>
      </c>
      <c r="J47" s="191">
        <v>0</v>
      </c>
      <c r="K47" s="191">
        <v>0</v>
      </c>
      <c r="L47" s="331">
        <v>0</v>
      </c>
      <c r="M47" s="191">
        <v>0</v>
      </c>
      <c r="N47" s="191">
        <v>0</v>
      </c>
      <c r="O47" s="191">
        <v>0</v>
      </c>
      <c r="P47" s="191">
        <v>0</v>
      </c>
      <c r="Q47" s="331">
        <v>0</v>
      </c>
      <c r="R47" s="191">
        <v>0</v>
      </c>
      <c r="S47" s="191">
        <v>0</v>
      </c>
      <c r="T47" s="191">
        <v>0</v>
      </c>
      <c r="U47" s="191">
        <v>0</v>
      </c>
      <c r="V47" s="331">
        <v>0</v>
      </c>
    </row>
    <row r="48" spans="1:22" ht="15" customHeight="1" x14ac:dyDescent="0.2">
      <c r="A48" s="65">
        <v>42</v>
      </c>
      <c r="B48" s="66" t="s">
        <v>225</v>
      </c>
      <c r="C48" s="191">
        <v>0</v>
      </c>
      <c r="D48" s="191">
        <v>0</v>
      </c>
      <c r="E48" s="191">
        <v>0</v>
      </c>
      <c r="F48" s="191">
        <v>0</v>
      </c>
      <c r="G48" s="331">
        <v>0</v>
      </c>
      <c r="H48" s="191">
        <v>0</v>
      </c>
      <c r="I48" s="191">
        <v>0</v>
      </c>
      <c r="J48" s="191">
        <v>0</v>
      </c>
      <c r="K48" s="191">
        <v>0</v>
      </c>
      <c r="L48" s="331">
        <v>0</v>
      </c>
      <c r="M48" s="191">
        <v>0</v>
      </c>
      <c r="N48" s="191">
        <v>0</v>
      </c>
      <c r="O48" s="191">
        <v>0</v>
      </c>
      <c r="P48" s="191">
        <v>0</v>
      </c>
      <c r="Q48" s="331">
        <v>0</v>
      </c>
      <c r="R48" s="191">
        <v>0</v>
      </c>
      <c r="S48" s="191">
        <v>0</v>
      </c>
      <c r="T48" s="191">
        <v>0</v>
      </c>
      <c r="U48" s="191">
        <v>0</v>
      </c>
      <c r="V48" s="331">
        <v>0</v>
      </c>
    </row>
    <row r="49" spans="1:22" ht="15" customHeight="1" x14ac:dyDescent="0.2">
      <c r="A49" s="65">
        <v>43</v>
      </c>
      <c r="B49" s="66" t="s">
        <v>74</v>
      </c>
      <c r="C49" s="191">
        <v>0</v>
      </c>
      <c r="D49" s="191">
        <v>0</v>
      </c>
      <c r="E49" s="191">
        <v>0</v>
      </c>
      <c r="F49" s="191">
        <v>0</v>
      </c>
      <c r="G49" s="331">
        <v>0</v>
      </c>
      <c r="H49" s="191">
        <v>0</v>
      </c>
      <c r="I49" s="191">
        <v>0</v>
      </c>
      <c r="J49" s="191">
        <v>0</v>
      </c>
      <c r="K49" s="191">
        <v>0</v>
      </c>
      <c r="L49" s="331">
        <v>0</v>
      </c>
      <c r="M49" s="191">
        <v>0</v>
      </c>
      <c r="N49" s="191">
        <v>0</v>
      </c>
      <c r="O49" s="191">
        <v>0</v>
      </c>
      <c r="P49" s="191">
        <v>0</v>
      </c>
      <c r="Q49" s="331">
        <v>0</v>
      </c>
      <c r="R49" s="191">
        <v>0</v>
      </c>
      <c r="S49" s="191">
        <v>0</v>
      </c>
      <c r="T49" s="191">
        <v>0</v>
      </c>
      <c r="U49" s="191">
        <v>0</v>
      </c>
      <c r="V49" s="331">
        <v>0</v>
      </c>
    </row>
    <row r="50" spans="1:22" ht="15" customHeight="1" x14ac:dyDescent="0.2">
      <c r="A50" s="65">
        <v>44</v>
      </c>
      <c r="B50" s="66" t="s">
        <v>226</v>
      </c>
      <c r="C50" s="191">
        <v>0</v>
      </c>
      <c r="D50" s="191">
        <v>0</v>
      </c>
      <c r="E50" s="191">
        <v>0</v>
      </c>
      <c r="F50" s="191">
        <v>0</v>
      </c>
      <c r="G50" s="331">
        <v>0</v>
      </c>
      <c r="H50" s="191">
        <v>0</v>
      </c>
      <c r="I50" s="191">
        <v>0</v>
      </c>
      <c r="J50" s="191">
        <v>7</v>
      </c>
      <c r="K50" s="191">
        <v>24.62</v>
      </c>
      <c r="L50" s="331">
        <v>0</v>
      </c>
      <c r="M50" s="191">
        <v>0</v>
      </c>
      <c r="N50" s="191">
        <v>0</v>
      </c>
      <c r="O50" s="191">
        <v>0</v>
      </c>
      <c r="P50" s="191">
        <v>0</v>
      </c>
      <c r="Q50" s="331">
        <v>0</v>
      </c>
      <c r="R50" s="191">
        <v>0</v>
      </c>
      <c r="S50" s="191">
        <v>0</v>
      </c>
      <c r="T50" s="191">
        <v>0</v>
      </c>
      <c r="U50" s="191">
        <v>0</v>
      </c>
      <c r="V50" s="331">
        <v>0</v>
      </c>
    </row>
    <row r="51" spans="1:22" ht="15" customHeight="1" x14ac:dyDescent="0.2">
      <c r="A51" s="65">
        <v>45</v>
      </c>
      <c r="B51" s="66" t="s">
        <v>227</v>
      </c>
      <c r="C51" s="191">
        <v>0</v>
      </c>
      <c r="D51" s="191">
        <v>0</v>
      </c>
      <c r="E51" s="191">
        <v>0</v>
      </c>
      <c r="F51" s="191">
        <v>0</v>
      </c>
      <c r="G51" s="331">
        <v>0</v>
      </c>
      <c r="H51" s="191">
        <v>0</v>
      </c>
      <c r="I51" s="191">
        <v>0</v>
      </c>
      <c r="J51" s="191">
        <v>0</v>
      </c>
      <c r="K51" s="191">
        <v>0</v>
      </c>
      <c r="L51" s="331">
        <v>0</v>
      </c>
      <c r="M51" s="191">
        <v>0</v>
      </c>
      <c r="N51" s="191">
        <v>0</v>
      </c>
      <c r="O51" s="191">
        <v>0</v>
      </c>
      <c r="P51" s="191">
        <v>0</v>
      </c>
      <c r="Q51" s="331">
        <v>0</v>
      </c>
      <c r="R51" s="191">
        <v>0</v>
      </c>
      <c r="S51" s="191">
        <v>0</v>
      </c>
      <c r="T51" s="191">
        <v>0</v>
      </c>
      <c r="U51" s="191">
        <v>0</v>
      </c>
      <c r="V51" s="331">
        <v>0</v>
      </c>
    </row>
    <row r="52" spans="1:22" s="200" customFormat="1" ht="15" customHeight="1" x14ac:dyDescent="0.2">
      <c r="A52" s="65">
        <v>46</v>
      </c>
      <c r="B52" s="66" t="s">
        <v>228</v>
      </c>
      <c r="C52" s="191">
        <v>0</v>
      </c>
      <c r="D52" s="191">
        <v>0</v>
      </c>
      <c r="E52" s="191">
        <v>0</v>
      </c>
      <c r="F52" s="191">
        <v>0</v>
      </c>
      <c r="G52" s="331">
        <v>0</v>
      </c>
      <c r="H52" s="191">
        <v>0</v>
      </c>
      <c r="I52" s="191">
        <v>0</v>
      </c>
      <c r="J52" s="191">
        <v>0</v>
      </c>
      <c r="K52" s="191">
        <v>0</v>
      </c>
      <c r="L52" s="331">
        <v>0</v>
      </c>
      <c r="M52" s="191">
        <v>0</v>
      </c>
      <c r="N52" s="191">
        <v>0</v>
      </c>
      <c r="O52" s="191">
        <v>0</v>
      </c>
      <c r="P52" s="191">
        <v>0</v>
      </c>
      <c r="Q52" s="331">
        <v>0</v>
      </c>
      <c r="R52" s="191">
        <v>0</v>
      </c>
      <c r="S52" s="191">
        <v>0</v>
      </c>
      <c r="T52" s="191">
        <v>0</v>
      </c>
      <c r="U52" s="191">
        <v>0</v>
      </c>
      <c r="V52" s="331">
        <v>0</v>
      </c>
    </row>
    <row r="53" spans="1:22" ht="15" customHeight="1" x14ac:dyDescent="0.2">
      <c r="A53" s="65">
        <v>47</v>
      </c>
      <c r="B53" s="66" t="s">
        <v>78</v>
      </c>
      <c r="C53" s="191">
        <v>0</v>
      </c>
      <c r="D53" s="191">
        <v>0</v>
      </c>
      <c r="E53" s="191">
        <v>0</v>
      </c>
      <c r="F53" s="191">
        <v>0</v>
      </c>
      <c r="G53" s="331">
        <v>0</v>
      </c>
      <c r="H53" s="191">
        <v>0</v>
      </c>
      <c r="I53" s="191">
        <v>0</v>
      </c>
      <c r="J53" s="191">
        <v>0</v>
      </c>
      <c r="K53" s="191">
        <v>0</v>
      </c>
      <c r="L53" s="331">
        <v>0</v>
      </c>
      <c r="M53" s="191">
        <v>0</v>
      </c>
      <c r="N53" s="191">
        <v>0</v>
      </c>
      <c r="O53" s="191">
        <v>0</v>
      </c>
      <c r="P53" s="191">
        <v>0</v>
      </c>
      <c r="Q53" s="331">
        <v>0</v>
      </c>
      <c r="R53" s="191">
        <v>0</v>
      </c>
      <c r="S53" s="191">
        <v>0</v>
      </c>
      <c r="T53" s="191">
        <v>0</v>
      </c>
      <c r="U53" s="191">
        <v>0</v>
      </c>
      <c r="V53" s="331">
        <v>0</v>
      </c>
    </row>
    <row r="54" spans="1:22" ht="15" customHeight="1" x14ac:dyDescent="0.2">
      <c r="A54" s="65">
        <v>48</v>
      </c>
      <c r="B54" s="66" t="s">
        <v>229</v>
      </c>
      <c r="C54" s="191">
        <v>0</v>
      </c>
      <c r="D54" s="191">
        <v>0</v>
      </c>
      <c r="E54" s="191">
        <v>0</v>
      </c>
      <c r="F54" s="191">
        <v>0</v>
      </c>
      <c r="G54" s="331">
        <v>0</v>
      </c>
      <c r="H54" s="191">
        <v>0</v>
      </c>
      <c r="I54" s="191">
        <v>0</v>
      </c>
      <c r="J54" s="191">
        <v>0</v>
      </c>
      <c r="K54" s="191">
        <v>0</v>
      </c>
      <c r="L54" s="331">
        <v>0</v>
      </c>
      <c r="M54" s="191">
        <v>0</v>
      </c>
      <c r="N54" s="191">
        <v>0</v>
      </c>
      <c r="O54" s="191">
        <v>0</v>
      </c>
      <c r="P54" s="191">
        <v>0</v>
      </c>
      <c r="Q54" s="331">
        <v>0</v>
      </c>
      <c r="R54" s="191">
        <v>0</v>
      </c>
      <c r="S54" s="191">
        <v>0</v>
      </c>
      <c r="T54" s="191">
        <v>0</v>
      </c>
      <c r="U54" s="191">
        <v>0</v>
      </c>
      <c r="V54" s="331">
        <v>0</v>
      </c>
    </row>
    <row r="55" spans="1:22" ht="15" customHeight="1" x14ac:dyDescent="0.2">
      <c r="A55" s="65">
        <v>49</v>
      </c>
      <c r="B55" s="66" t="s">
        <v>77</v>
      </c>
      <c r="C55" s="191">
        <v>0</v>
      </c>
      <c r="D55" s="191">
        <v>0</v>
      </c>
      <c r="E55" s="191">
        <v>0</v>
      </c>
      <c r="F55" s="191">
        <v>0</v>
      </c>
      <c r="G55" s="331">
        <v>0</v>
      </c>
      <c r="H55" s="191">
        <v>0</v>
      </c>
      <c r="I55" s="191">
        <v>0</v>
      </c>
      <c r="J55" s="191">
        <v>0</v>
      </c>
      <c r="K55" s="191">
        <v>0</v>
      </c>
      <c r="L55" s="331">
        <v>0</v>
      </c>
      <c r="M55" s="191">
        <v>0</v>
      </c>
      <c r="N55" s="191">
        <v>0</v>
      </c>
      <c r="O55" s="191">
        <v>0</v>
      </c>
      <c r="P55" s="191">
        <v>0</v>
      </c>
      <c r="Q55" s="331">
        <v>0</v>
      </c>
      <c r="R55" s="191">
        <v>0</v>
      </c>
      <c r="S55" s="191">
        <v>0</v>
      </c>
      <c r="T55" s="191">
        <v>0</v>
      </c>
      <c r="U55" s="191">
        <v>0</v>
      </c>
      <c r="V55" s="331">
        <v>0</v>
      </c>
    </row>
    <row r="56" spans="1:22" s="200" customFormat="1" ht="15" customHeight="1" x14ac:dyDescent="0.2">
      <c r="A56" s="298" t="s">
        <v>488</v>
      </c>
      <c r="B56" s="68" t="s">
        <v>408</v>
      </c>
      <c r="C56" s="193">
        <f>SUM(C34:C55)</f>
        <v>17</v>
      </c>
      <c r="D56" s="193">
        <f t="shared" ref="D56:U56" si="5">SUM(D34:D55)</f>
        <v>9.7099999999999991</v>
      </c>
      <c r="E56" s="193">
        <f t="shared" si="5"/>
        <v>137</v>
      </c>
      <c r="F56" s="193">
        <f t="shared" si="5"/>
        <v>273.46000000000004</v>
      </c>
      <c r="G56" s="334">
        <f t="shared" si="0"/>
        <v>3.5507935347034292</v>
      </c>
      <c r="H56" s="193">
        <f t="shared" si="5"/>
        <v>0</v>
      </c>
      <c r="I56" s="193">
        <f t="shared" si="5"/>
        <v>0</v>
      </c>
      <c r="J56" s="193">
        <f t="shared" si="5"/>
        <v>7</v>
      </c>
      <c r="K56" s="193">
        <f t="shared" si="5"/>
        <v>24.62</v>
      </c>
      <c r="L56" s="334">
        <f t="shared" si="1"/>
        <v>0</v>
      </c>
      <c r="M56" s="193">
        <f t="shared" si="5"/>
        <v>0</v>
      </c>
      <c r="N56" s="193">
        <f t="shared" si="5"/>
        <v>0</v>
      </c>
      <c r="O56" s="193">
        <f t="shared" si="5"/>
        <v>0</v>
      </c>
      <c r="P56" s="193">
        <f t="shared" si="5"/>
        <v>0</v>
      </c>
      <c r="Q56" s="334">
        <v>0</v>
      </c>
      <c r="R56" s="193">
        <f t="shared" si="5"/>
        <v>405</v>
      </c>
      <c r="S56" s="193">
        <f t="shared" si="5"/>
        <v>254</v>
      </c>
      <c r="T56" s="193">
        <f t="shared" si="5"/>
        <v>5909</v>
      </c>
      <c r="U56" s="193">
        <f t="shared" si="5"/>
        <v>3299.5299999999997</v>
      </c>
      <c r="V56" s="334">
        <f t="shared" si="3"/>
        <v>7.6980660882004415</v>
      </c>
    </row>
    <row r="57" spans="1:22" ht="15" customHeight="1" x14ac:dyDescent="0.2">
      <c r="A57" s="65">
        <v>50</v>
      </c>
      <c r="B57" s="66" t="s">
        <v>47</v>
      </c>
      <c r="C57" s="191">
        <v>794</v>
      </c>
      <c r="D57" s="191">
        <v>470.09</v>
      </c>
      <c r="E57" s="191">
        <v>3379</v>
      </c>
      <c r="F57" s="191">
        <v>2230.7800000000002</v>
      </c>
      <c r="G57" s="331">
        <f t="shared" si="0"/>
        <v>21.072898268766977</v>
      </c>
      <c r="H57" s="191">
        <v>18</v>
      </c>
      <c r="I57" s="191">
        <v>19.170000000000002</v>
      </c>
      <c r="J57" s="191">
        <v>278</v>
      </c>
      <c r="K57" s="191">
        <v>707.06</v>
      </c>
      <c r="L57" s="331">
        <f t="shared" si="1"/>
        <v>2.7112267700053749</v>
      </c>
      <c r="M57" s="191">
        <v>12586</v>
      </c>
      <c r="N57" s="191">
        <v>5446</v>
      </c>
      <c r="O57" s="191">
        <v>69649</v>
      </c>
      <c r="P57" s="191">
        <v>55080</v>
      </c>
      <c r="Q57" s="331">
        <f t="shared" si="2"/>
        <v>9.8874364560639076</v>
      </c>
      <c r="R57" s="191">
        <v>3895</v>
      </c>
      <c r="S57" s="191">
        <v>1249</v>
      </c>
      <c r="T57" s="191">
        <v>13000</v>
      </c>
      <c r="U57" s="191">
        <v>3576</v>
      </c>
      <c r="V57" s="331">
        <f t="shared" si="3"/>
        <v>34.927293064876956</v>
      </c>
    </row>
    <row r="58" spans="1:22" s="200" customFormat="1" ht="15" customHeight="1" x14ac:dyDescent="0.2">
      <c r="A58" s="65">
        <v>51</v>
      </c>
      <c r="B58" s="66" t="s">
        <v>230</v>
      </c>
      <c r="C58" s="191">
        <v>5720</v>
      </c>
      <c r="D58" s="191">
        <v>1898</v>
      </c>
      <c r="E58" s="191">
        <v>13338</v>
      </c>
      <c r="F58" s="191">
        <v>4755</v>
      </c>
      <c r="G58" s="331">
        <f t="shared" si="0"/>
        <v>39.915878023133544</v>
      </c>
      <c r="H58" s="191">
        <v>19</v>
      </c>
      <c r="I58" s="191">
        <v>9</v>
      </c>
      <c r="J58" s="191">
        <v>72</v>
      </c>
      <c r="K58" s="191">
        <v>149</v>
      </c>
      <c r="L58" s="331">
        <f t="shared" si="1"/>
        <v>6.0402684563758386</v>
      </c>
      <c r="M58" s="191">
        <v>10800</v>
      </c>
      <c r="N58" s="191">
        <v>7756</v>
      </c>
      <c r="O58" s="191">
        <v>55282</v>
      </c>
      <c r="P58" s="191">
        <v>42807</v>
      </c>
      <c r="Q58" s="331">
        <f t="shared" si="2"/>
        <v>18.118532015791811</v>
      </c>
      <c r="R58" s="191">
        <v>1097</v>
      </c>
      <c r="S58" s="191">
        <v>342</v>
      </c>
      <c r="T58" s="191">
        <v>3282</v>
      </c>
      <c r="U58" s="191">
        <v>1279</v>
      </c>
      <c r="V58" s="331">
        <f t="shared" si="3"/>
        <v>26.739640344018763</v>
      </c>
    </row>
    <row r="59" spans="1:22" s="200" customFormat="1" ht="15" customHeight="1" x14ac:dyDescent="0.2">
      <c r="A59" s="65">
        <v>52</v>
      </c>
      <c r="B59" s="66" t="s">
        <v>53</v>
      </c>
      <c r="C59" s="191">
        <v>537</v>
      </c>
      <c r="D59" s="191">
        <v>312</v>
      </c>
      <c r="E59" s="191">
        <v>1886</v>
      </c>
      <c r="F59" s="191">
        <v>3428</v>
      </c>
      <c r="G59" s="331">
        <f t="shared" si="0"/>
        <v>9.1015169194865813</v>
      </c>
      <c r="H59" s="191">
        <v>175</v>
      </c>
      <c r="I59" s="191">
        <v>348</v>
      </c>
      <c r="J59" s="191">
        <v>1723</v>
      </c>
      <c r="K59" s="191">
        <v>1325</v>
      </c>
      <c r="L59" s="331">
        <f t="shared" si="1"/>
        <v>26.264150943396228</v>
      </c>
      <c r="M59" s="191">
        <v>2068</v>
      </c>
      <c r="N59" s="191">
        <v>1525.01</v>
      </c>
      <c r="O59" s="191">
        <v>59292</v>
      </c>
      <c r="P59" s="191">
        <v>45261</v>
      </c>
      <c r="Q59" s="331">
        <f t="shared" si="2"/>
        <v>3.3693687722321646</v>
      </c>
      <c r="R59" s="191">
        <v>5124</v>
      </c>
      <c r="S59" s="191">
        <v>1125</v>
      </c>
      <c r="T59" s="191">
        <v>17648</v>
      </c>
      <c r="U59" s="191">
        <v>16824.580000000002</v>
      </c>
      <c r="V59" s="331">
        <f t="shared" si="3"/>
        <v>6.6866453724253434</v>
      </c>
    </row>
    <row r="60" spans="1:22" s="200" customFormat="1" ht="15" customHeight="1" x14ac:dyDescent="0.2">
      <c r="A60" s="335" t="s">
        <v>488</v>
      </c>
      <c r="B60" s="336" t="s">
        <v>415</v>
      </c>
      <c r="C60" s="193">
        <v>7051</v>
      </c>
      <c r="D60" s="193">
        <v>2680.09</v>
      </c>
      <c r="E60" s="193">
        <v>18603</v>
      </c>
      <c r="F60" s="193">
        <f>SUM(F57:F59)</f>
        <v>10413.780000000001</v>
      </c>
      <c r="G60" s="334">
        <f t="shared" si="0"/>
        <v>25.735995959200213</v>
      </c>
      <c r="H60" s="193">
        <f t="shared" ref="H60:U60" si="6">SUM(H57:H59)</f>
        <v>212</v>
      </c>
      <c r="I60" s="193">
        <f t="shared" si="6"/>
        <v>376.17</v>
      </c>
      <c r="J60" s="193">
        <f t="shared" si="6"/>
        <v>2073</v>
      </c>
      <c r="K60" s="193">
        <f t="shared" si="6"/>
        <v>2181.06</v>
      </c>
      <c r="L60" s="334">
        <f t="shared" si="1"/>
        <v>17.247118373634837</v>
      </c>
      <c r="M60" s="193">
        <f t="shared" si="6"/>
        <v>25454</v>
      </c>
      <c r="N60" s="193">
        <f t="shared" si="6"/>
        <v>14727.01</v>
      </c>
      <c r="O60" s="193">
        <f t="shared" si="6"/>
        <v>184223</v>
      </c>
      <c r="P60" s="193">
        <f t="shared" si="6"/>
        <v>143148</v>
      </c>
      <c r="Q60" s="334">
        <f t="shared" si="2"/>
        <v>10.287960711990388</v>
      </c>
      <c r="R60" s="193">
        <f t="shared" si="6"/>
        <v>10116</v>
      </c>
      <c r="S60" s="193">
        <f t="shared" si="6"/>
        <v>2716</v>
      </c>
      <c r="T60" s="193">
        <f t="shared" si="6"/>
        <v>33930</v>
      </c>
      <c r="U60" s="193">
        <f t="shared" si="6"/>
        <v>21679.58</v>
      </c>
      <c r="V60" s="334">
        <f t="shared" si="3"/>
        <v>12.527917976270757</v>
      </c>
    </row>
    <row r="61" spans="1:22" ht="15" customHeight="1" x14ac:dyDescent="0.2">
      <c r="A61" s="332">
        <v>53</v>
      </c>
      <c r="B61" s="333" t="s">
        <v>409</v>
      </c>
      <c r="C61" s="191">
        <v>0</v>
      </c>
      <c r="D61" s="191">
        <v>0</v>
      </c>
      <c r="E61" s="191">
        <v>0</v>
      </c>
      <c r="F61" s="191">
        <v>0</v>
      </c>
      <c r="G61" s="331">
        <v>0</v>
      </c>
      <c r="H61" s="191">
        <v>0</v>
      </c>
      <c r="I61" s="191">
        <v>0</v>
      </c>
      <c r="J61" s="191">
        <v>0</v>
      </c>
      <c r="K61" s="191">
        <v>0</v>
      </c>
      <c r="L61" s="331">
        <v>0</v>
      </c>
      <c r="M61" s="191">
        <v>0</v>
      </c>
      <c r="N61" s="191">
        <v>0</v>
      </c>
      <c r="O61" s="191">
        <v>0</v>
      </c>
      <c r="P61" s="191">
        <v>0</v>
      </c>
      <c r="Q61" s="331">
        <v>0</v>
      </c>
      <c r="R61" s="191">
        <v>0</v>
      </c>
      <c r="S61" s="191">
        <v>0</v>
      </c>
      <c r="T61" s="191">
        <v>11201</v>
      </c>
      <c r="U61" s="191">
        <v>1268.6199999999999</v>
      </c>
      <c r="V61" s="331">
        <f t="shared" si="3"/>
        <v>0</v>
      </c>
    </row>
    <row r="62" spans="1:22" s="200" customFormat="1" ht="15" customHeight="1" x14ac:dyDescent="0.2">
      <c r="A62" s="335" t="s">
        <v>488</v>
      </c>
      <c r="B62" s="336" t="s">
        <v>410</v>
      </c>
      <c r="C62" s="193">
        <v>0</v>
      </c>
      <c r="D62" s="193">
        <v>0</v>
      </c>
      <c r="E62" s="193">
        <v>0</v>
      </c>
      <c r="F62" s="193">
        <f>F61</f>
        <v>0</v>
      </c>
      <c r="G62" s="334">
        <v>0</v>
      </c>
      <c r="H62" s="193">
        <f t="shared" ref="H62:U62" si="7">H61</f>
        <v>0</v>
      </c>
      <c r="I62" s="193">
        <f t="shared" si="7"/>
        <v>0</v>
      </c>
      <c r="J62" s="193">
        <f t="shared" si="7"/>
        <v>0</v>
      </c>
      <c r="K62" s="193">
        <f t="shared" si="7"/>
        <v>0</v>
      </c>
      <c r="L62" s="334">
        <v>0</v>
      </c>
      <c r="M62" s="193">
        <f t="shared" si="7"/>
        <v>0</v>
      </c>
      <c r="N62" s="193">
        <f t="shared" si="7"/>
        <v>0</v>
      </c>
      <c r="O62" s="193">
        <f t="shared" si="7"/>
        <v>0</v>
      </c>
      <c r="P62" s="193">
        <f t="shared" si="7"/>
        <v>0</v>
      </c>
      <c r="Q62" s="334">
        <v>0</v>
      </c>
      <c r="R62" s="193">
        <f t="shared" si="7"/>
        <v>0</v>
      </c>
      <c r="S62" s="193">
        <f t="shared" si="7"/>
        <v>0</v>
      </c>
      <c r="T62" s="193">
        <f t="shared" si="7"/>
        <v>11201</v>
      </c>
      <c r="U62" s="193">
        <f t="shared" si="7"/>
        <v>1268.6199999999999</v>
      </c>
      <c r="V62" s="334">
        <f t="shared" si="3"/>
        <v>0</v>
      </c>
    </row>
    <row r="63" spans="1:22" s="200" customFormat="1" ht="15" customHeight="1" x14ac:dyDescent="0.2">
      <c r="A63" s="335" t="s">
        <v>488</v>
      </c>
      <c r="B63" s="336" t="s">
        <v>411</v>
      </c>
      <c r="C63" s="193">
        <v>13866</v>
      </c>
      <c r="D63" s="193">
        <v>8914.41</v>
      </c>
      <c r="E63" s="193">
        <v>62148</v>
      </c>
      <c r="F63" s="193">
        <f>F62+F60+F56+F33</f>
        <v>183946.16999999995</v>
      </c>
      <c r="G63" s="334">
        <f t="shared" si="0"/>
        <v>4.8462058220619664</v>
      </c>
      <c r="H63" s="193">
        <f t="shared" ref="H63:U63" si="8">H62+H60+H56+H33</f>
        <v>2368</v>
      </c>
      <c r="I63" s="193">
        <f t="shared" si="8"/>
        <v>5218.67</v>
      </c>
      <c r="J63" s="193">
        <f t="shared" si="8"/>
        <v>16367</v>
      </c>
      <c r="K63" s="193">
        <f t="shared" si="8"/>
        <v>63414.44</v>
      </c>
      <c r="L63" s="334">
        <f t="shared" si="1"/>
        <v>8.2294663486738973</v>
      </c>
      <c r="M63" s="193">
        <f t="shared" si="8"/>
        <v>57819</v>
      </c>
      <c r="N63" s="193">
        <f t="shared" si="8"/>
        <v>31535.910000000003</v>
      </c>
      <c r="O63" s="193">
        <f t="shared" si="8"/>
        <v>536664</v>
      </c>
      <c r="P63" s="193">
        <f t="shared" si="8"/>
        <v>344008.88</v>
      </c>
      <c r="Q63" s="334">
        <f t="shared" si="2"/>
        <v>9.1671790565406344</v>
      </c>
      <c r="R63" s="193">
        <f t="shared" si="8"/>
        <v>15586</v>
      </c>
      <c r="S63" s="193">
        <f t="shared" si="8"/>
        <v>7592.54</v>
      </c>
      <c r="T63" s="193">
        <f t="shared" si="8"/>
        <v>79629</v>
      </c>
      <c r="U63" s="193">
        <f t="shared" si="8"/>
        <v>48376.24</v>
      </c>
      <c r="V63" s="334">
        <f t="shared" si="3"/>
        <v>15.69477082137843</v>
      </c>
    </row>
  </sheetData>
  <mergeCells count="19">
    <mergeCell ref="A1:V1"/>
    <mergeCell ref="A2:V2"/>
    <mergeCell ref="A4:A5"/>
    <mergeCell ref="B4:B5"/>
    <mergeCell ref="C4:D4"/>
    <mergeCell ref="W6:X9"/>
    <mergeCell ref="N3:O3"/>
    <mergeCell ref="O4:P4"/>
    <mergeCell ref="E4:F4"/>
    <mergeCell ref="H4:I4"/>
    <mergeCell ref="R4:S4"/>
    <mergeCell ref="Q4:Q5"/>
    <mergeCell ref="J4:K4"/>
    <mergeCell ref="M4:N4"/>
    <mergeCell ref="T4:U4"/>
    <mergeCell ref="G4:G5"/>
    <mergeCell ref="L4:L5"/>
    <mergeCell ref="V4:V5"/>
    <mergeCell ref="J3:K3"/>
  </mergeCells>
  <conditionalFormatting sqref="J3">
    <cfRule type="cellIs" dxfId="70" priority="18" operator="lessThan">
      <formula>0</formula>
    </cfRule>
  </conditionalFormatting>
  <conditionalFormatting sqref="P3">
    <cfRule type="cellIs" dxfId="69" priority="17" operator="lessThan">
      <formula>0</formula>
    </cfRule>
  </conditionalFormatting>
  <conditionalFormatting sqref="N3">
    <cfRule type="cellIs" dxfId="68" priority="16" operator="lessThan">
      <formula>0</formula>
    </cfRule>
  </conditionalFormatting>
  <conditionalFormatting sqref="B6">
    <cfRule type="duplicateValues" dxfId="67" priority="10"/>
  </conditionalFormatting>
  <conditionalFormatting sqref="B22">
    <cfRule type="duplicateValues" dxfId="66" priority="11"/>
  </conditionalFormatting>
  <conditionalFormatting sqref="B33:B34 B26:B30">
    <cfRule type="duplicateValues" dxfId="65" priority="12"/>
  </conditionalFormatting>
  <conditionalFormatting sqref="B52">
    <cfRule type="duplicateValues" dxfId="64" priority="13"/>
  </conditionalFormatting>
  <conditionalFormatting sqref="B56">
    <cfRule type="duplicateValues" dxfId="63" priority="14"/>
  </conditionalFormatting>
  <conditionalFormatting sqref="B58">
    <cfRule type="duplicateValues" dxfId="62" priority="15"/>
  </conditionalFormatting>
  <conditionalFormatting sqref="G1:G1048576">
    <cfRule type="cellIs" dxfId="61" priority="9" stopIfTrue="1" operator="greaterThan">
      <formula>100</formula>
    </cfRule>
  </conditionalFormatting>
  <conditionalFormatting sqref="L55:L1048576 L1:L41">
    <cfRule type="cellIs" dxfId="60" priority="7" stopIfTrue="1" operator="greaterThan">
      <formula>100</formula>
    </cfRule>
  </conditionalFormatting>
  <conditionalFormatting sqref="Q1:Q1048576">
    <cfRule type="cellIs" dxfId="59" priority="5" stopIfTrue="1" operator="greaterThan">
      <formula>100</formula>
    </cfRule>
  </conditionalFormatting>
  <conditionalFormatting sqref="V1:V1048576">
    <cfRule type="cellIs" dxfId="58" priority="3" stopIfTrue="1" operator="greaterThan">
      <formula>100</formula>
    </cfRule>
  </conditionalFormatting>
  <conditionalFormatting sqref="L42:L54">
    <cfRule type="cellIs" dxfId="57" priority="1" stopIfTrue="1" operator="greaterThan">
      <formula>100</formula>
    </cfRule>
  </conditionalFormatting>
  <pageMargins left="0.25" right="0.25" top="0.25" bottom="0.2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2" tint="-0.499984740745262"/>
  </sheetPr>
  <dimension ref="A1:U77"/>
  <sheetViews>
    <sheetView zoomScaleNormal="100" zoomScaleSheetLayoutView="100" workbookViewId="0">
      <pane xSplit="1" ySplit="5" topLeftCell="B6" activePane="bottomRight" state="frozen"/>
      <selection activeCell="C3" sqref="C3"/>
      <selection pane="topRight" activeCell="C3" sqref="C3"/>
      <selection pane="bottomLeft" activeCell="C3" sqref="C3"/>
      <selection pane="bottomRight" activeCell="G72" sqref="G72"/>
    </sheetView>
  </sheetViews>
  <sheetFormatPr defaultRowHeight="12.75" x14ac:dyDescent="0.2"/>
  <cols>
    <col min="1" max="1" width="5.42578125" style="156" customWidth="1"/>
    <col min="2" max="2" width="21.7109375" style="155" customWidth="1"/>
    <col min="3" max="3" width="8.140625" style="151" customWidth="1"/>
    <col min="4" max="5" width="9" style="151" bestFit="1" customWidth="1"/>
    <col min="6" max="6" width="8.85546875" style="151" customWidth="1"/>
    <col min="7" max="7" width="9.7109375" style="151" customWidth="1"/>
    <col min="8" max="8" width="9" style="151" bestFit="1" customWidth="1"/>
    <col min="9" max="9" width="7.85546875" style="143" customWidth="1"/>
    <col min="10" max="10" width="8.28515625" style="143" customWidth="1"/>
    <col min="11" max="11" width="8.7109375" style="143" customWidth="1"/>
    <col min="12" max="12" width="21.140625" style="155" hidden="1" customWidth="1"/>
    <col min="13" max="21" width="0" style="155" hidden="1" customWidth="1"/>
    <col min="22" max="16384" width="9.140625" style="155"/>
  </cols>
  <sheetData>
    <row r="1" spans="1:21" ht="14.25" customHeight="1" x14ac:dyDescent="0.2">
      <c r="A1" s="411" t="s">
        <v>413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21" ht="14.25" x14ac:dyDescent="0.2">
      <c r="A2" s="407" t="s">
        <v>243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21" ht="14.25" x14ac:dyDescent="0.2">
      <c r="B3" s="93" t="s">
        <v>12</v>
      </c>
      <c r="J3" s="417" t="s">
        <v>15</v>
      </c>
      <c r="K3" s="417"/>
    </row>
    <row r="4" spans="1:21" s="149" customFormat="1" ht="15" customHeight="1" x14ac:dyDescent="0.2">
      <c r="A4" s="412" t="s">
        <v>2</v>
      </c>
      <c r="B4" s="412" t="s">
        <v>3</v>
      </c>
      <c r="C4" s="414" t="s">
        <v>8</v>
      </c>
      <c r="D4" s="414"/>
      <c r="E4" s="415"/>
      <c r="F4" s="416" t="s">
        <v>9</v>
      </c>
      <c r="G4" s="414"/>
      <c r="H4" s="415"/>
      <c r="I4" s="408" t="s">
        <v>10</v>
      </c>
      <c r="J4" s="409"/>
      <c r="K4" s="410"/>
      <c r="M4" s="406" t="s">
        <v>423</v>
      </c>
      <c r="N4" s="406"/>
      <c r="O4" s="406"/>
      <c r="P4" s="406" t="s">
        <v>424</v>
      </c>
      <c r="Q4" s="406"/>
      <c r="R4" s="406"/>
    </row>
    <row r="5" spans="1:21" ht="25.5" x14ac:dyDescent="0.2">
      <c r="A5" s="413"/>
      <c r="B5" s="413"/>
      <c r="C5" s="152" t="s">
        <v>4</v>
      </c>
      <c r="D5" s="153" t="s">
        <v>11</v>
      </c>
      <c r="E5" s="153" t="s">
        <v>6</v>
      </c>
      <c r="F5" s="153" t="s">
        <v>4</v>
      </c>
      <c r="G5" s="153" t="s">
        <v>11</v>
      </c>
      <c r="H5" s="153" t="s">
        <v>6</v>
      </c>
      <c r="I5" s="154" t="s">
        <v>4</v>
      </c>
      <c r="J5" s="154" t="s">
        <v>11</v>
      </c>
      <c r="K5" s="154" t="s">
        <v>6</v>
      </c>
      <c r="L5" s="284" t="s">
        <v>3</v>
      </c>
      <c r="M5" s="152" t="s">
        <v>4</v>
      </c>
      <c r="N5" s="278" t="s">
        <v>11</v>
      </c>
      <c r="O5" s="278" t="s">
        <v>6</v>
      </c>
      <c r="P5" s="278" t="s">
        <v>4</v>
      </c>
      <c r="Q5" s="278" t="s">
        <v>11</v>
      </c>
      <c r="R5" s="278" t="s">
        <v>6</v>
      </c>
    </row>
    <row r="6" spans="1:21" ht="13.5" x14ac:dyDescent="0.2">
      <c r="A6" s="72">
        <v>1</v>
      </c>
      <c r="B6" s="73" t="s">
        <v>56</v>
      </c>
      <c r="C6" s="138">
        <v>173556</v>
      </c>
      <c r="D6" s="138">
        <v>717978</v>
      </c>
      <c r="E6" s="138">
        <v>152430</v>
      </c>
      <c r="F6" s="138">
        <v>152462</v>
      </c>
      <c r="G6" s="138">
        <v>446906</v>
      </c>
      <c r="H6" s="138">
        <v>120629</v>
      </c>
      <c r="I6" s="139">
        <f>F6*100/C6</f>
        <v>87.845997833552289</v>
      </c>
      <c r="J6" s="139">
        <f t="shared" ref="J6:K21" si="0">G6*100/D6</f>
        <v>62.245082718411986</v>
      </c>
      <c r="K6" s="139">
        <f t="shared" si="0"/>
        <v>79.137308928688583</v>
      </c>
      <c r="L6" s="73" t="s">
        <v>56</v>
      </c>
      <c r="M6" s="138">
        <v>281788</v>
      </c>
      <c r="N6" s="138">
        <v>140991</v>
      </c>
      <c r="O6" s="138">
        <v>554556</v>
      </c>
      <c r="P6" s="138">
        <v>174592.54</v>
      </c>
      <c r="Q6" s="138">
        <v>195515.58000000002</v>
      </c>
      <c r="R6" s="138">
        <v>269513.40000000002</v>
      </c>
    </row>
    <row r="7" spans="1:21" ht="13.5" x14ac:dyDescent="0.2">
      <c r="A7" s="72">
        <v>2</v>
      </c>
      <c r="B7" s="73" t="s">
        <v>57</v>
      </c>
      <c r="C7" s="138">
        <v>7.84</v>
      </c>
      <c r="D7" s="138">
        <v>121180.44</v>
      </c>
      <c r="E7" s="138">
        <v>5175.7299999999996</v>
      </c>
      <c r="F7" s="138">
        <v>0</v>
      </c>
      <c r="G7" s="138">
        <v>45151.88</v>
      </c>
      <c r="H7" s="138">
        <v>5203.05</v>
      </c>
      <c r="I7" s="139">
        <v>0</v>
      </c>
      <c r="J7" s="139">
        <f t="shared" si="0"/>
        <v>37.260039656565034</v>
      </c>
      <c r="K7" s="139">
        <f t="shared" si="0"/>
        <v>100.5278482455615</v>
      </c>
      <c r="L7" s="73" t="s">
        <v>57</v>
      </c>
      <c r="M7" s="138">
        <v>0</v>
      </c>
      <c r="N7" s="138">
        <v>5615.28</v>
      </c>
      <c r="O7" s="138">
        <v>139311.34</v>
      </c>
      <c r="P7" s="138">
        <v>0</v>
      </c>
      <c r="Q7" s="138">
        <v>4584.5600000000004</v>
      </c>
      <c r="R7" s="138">
        <v>42782.7</v>
      </c>
    </row>
    <row r="8" spans="1:21" ht="13.5" x14ac:dyDescent="0.2">
      <c r="A8" s="72">
        <v>3</v>
      </c>
      <c r="B8" s="73" t="s">
        <v>58</v>
      </c>
      <c r="C8" s="138">
        <v>46798</v>
      </c>
      <c r="D8" s="138">
        <v>617882</v>
      </c>
      <c r="E8" s="138">
        <v>175290</v>
      </c>
      <c r="F8" s="138">
        <v>42470</v>
      </c>
      <c r="G8" s="138">
        <v>505330</v>
      </c>
      <c r="H8" s="138">
        <v>157800</v>
      </c>
      <c r="I8" s="139">
        <f t="shared" ref="I8:K63" si="1">F8*100/C8</f>
        <v>90.751741527415703</v>
      </c>
      <c r="J8" s="139">
        <f t="shared" si="0"/>
        <v>81.784224172252948</v>
      </c>
      <c r="K8" s="139">
        <f t="shared" si="0"/>
        <v>90.022248844771525</v>
      </c>
      <c r="L8" s="73" t="s">
        <v>58</v>
      </c>
      <c r="M8" s="138">
        <v>41024</v>
      </c>
      <c r="N8" s="138">
        <v>165795</v>
      </c>
      <c r="O8" s="138">
        <v>606081</v>
      </c>
      <c r="P8" s="138">
        <v>39350</v>
      </c>
      <c r="Q8" s="138">
        <v>182945</v>
      </c>
      <c r="R8" s="138">
        <v>670005</v>
      </c>
    </row>
    <row r="9" spans="1:21" ht="13.5" x14ac:dyDescent="0.2">
      <c r="A9" s="72">
        <v>4</v>
      </c>
      <c r="B9" s="73" t="s">
        <v>59</v>
      </c>
      <c r="C9" s="138">
        <v>413559</v>
      </c>
      <c r="D9" s="138">
        <v>1179163</v>
      </c>
      <c r="E9" s="138">
        <v>503367</v>
      </c>
      <c r="F9" s="138">
        <v>594373</v>
      </c>
      <c r="G9" s="138">
        <v>630196</v>
      </c>
      <c r="H9" s="138">
        <v>426678</v>
      </c>
      <c r="I9" s="139">
        <f t="shared" si="1"/>
        <v>143.72145207817991</v>
      </c>
      <c r="J9" s="139">
        <f t="shared" si="0"/>
        <v>53.444349932960925</v>
      </c>
      <c r="K9" s="139">
        <f t="shared" si="0"/>
        <v>84.764793878025372</v>
      </c>
      <c r="L9" s="73" t="s">
        <v>59</v>
      </c>
      <c r="M9" s="138">
        <v>391236</v>
      </c>
      <c r="N9" s="138">
        <v>480521</v>
      </c>
      <c r="O9" s="138">
        <v>1086495</v>
      </c>
      <c r="P9" s="138">
        <v>570443</v>
      </c>
      <c r="Q9" s="138">
        <v>413248</v>
      </c>
      <c r="R9" s="138">
        <v>657166</v>
      </c>
      <c r="S9" s="27"/>
      <c r="T9" s="27"/>
      <c r="U9" s="27"/>
    </row>
    <row r="10" spans="1:21" ht="13.5" x14ac:dyDescent="0.2">
      <c r="A10" s="72">
        <v>5</v>
      </c>
      <c r="B10" s="73" t="s">
        <v>60</v>
      </c>
      <c r="C10" s="138">
        <v>138927.42000000001</v>
      </c>
      <c r="D10" s="138">
        <v>109690</v>
      </c>
      <c r="E10" s="138">
        <v>282529.78999999998</v>
      </c>
      <c r="F10" s="138">
        <v>99330.84</v>
      </c>
      <c r="G10" s="138">
        <v>42563.38</v>
      </c>
      <c r="H10" s="138">
        <v>173931.78</v>
      </c>
      <c r="I10" s="139">
        <f t="shared" si="1"/>
        <v>71.498369436357478</v>
      </c>
      <c r="J10" s="139">
        <f t="shared" si="0"/>
        <v>38.803336676087156</v>
      </c>
      <c r="K10" s="139">
        <f t="shared" si="0"/>
        <v>61.562279857285141</v>
      </c>
      <c r="L10" s="73" t="s">
        <v>60</v>
      </c>
      <c r="M10" s="138">
        <v>130961</v>
      </c>
      <c r="N10" s="138">
        <v>108972</v>
      </c>
      <c r="O10" s="138">
        <v>276176</v>
      </c>
      <c r="P10" s="138">
        <v>121471</v>
      </c>
      <c r="Q10" s="138">
        <v>62879</v>
      </c>
      <c r="R10" s="138">
        <v>183246</v>
      </c>
      <c r="S10" s="27"/>
      <c r="T10" s="27"/>
      <c r="U10" s="27"/>
    </row>
    <row r="11" spans="1:21" ht="13.5" x14ac:dyDescent="0.2">
      <c r="A11" s="72">
        <v>6</v>
      </c>
      <c r="B11" s="73" t="s">
        <v>244</v>
      </c>
      <c r="C11" s="138">
        <v>0</v>
      </c>
      <c r="D11" s="138">
        <v>0</v>
      </c>
      <c r="E11" s="138">
        <v>2219</v>
      </c>
      <c r="F11" s="138">
        <v>0</v>
      </c>
      <c r="G11" s="138">
        <v>0</v>
      </c>
      <c r="H11" s="138">
        <v>573</v>
      </c>
      <c r="I11" s="139">
        <v>0</v>
      </c>
      <c r="J11" s="139">
        <v>0</v>
      </c>
      <c r="K11" s="139">
        <f t="shared" si="0"/>
        <v>25.822442541685444</v>
      </c>
      <c r="L11" s="73" t="s">
        <v>69</v>
      </c>
      <c r="M11" s="138">
        <v>0</v>
      </c>
      <c r="N11" s="138">
        <v>0</v>
      </c>
      <c r="O11" s="138">
        <v>4018</v>
      </c>
      <c r="P11" s="138">
        <v>0</v>
      </c>
      <c r="Q11" s="138">
        <v>0</v>
      </c>
      <c r="R11" s="138">
        <v>763</v>
      </c>
      <c r="S11" s="27"/>
      <c r="T11" s="27"/>
      <c r="U11" s="27"/>
    </row>
    <row r="12" spans="1:21" ht="13.5" x14ac:dyDescent="0.2">
      <c r="A12" s="72">
        <v>7</v>
      </c>
      <c r="B12" s="73" t="s">
        <v>61</v>
      </c>
      <c r="C12" s="138">
        <v>26031</v>
      </c>
      <c r="D12" s="138">
        <v>533974</v>
      </c>
      <c r="E12" s="138">
        <v>96551</v>
      </c>
      <c r="F12" s="138">
        <v>30621</v>
      </c>
      <c r="G12" s="138">
        <v>281302</v>
      </c>
      <c r="H12" s="138">
        <v>104164</v>
      </c>
      <c r="I12" s="139">
        <f t="shared" si="1"/>
        <v>117.6328224040567</v>
      </c>
      <c r="J12" s="139">
        <f t="shared" si="0"/>
        <v>52.680842138381273</v>
      </c>
      <c r="K12" s="139">
        <f t="shared" si="0"/>
        <v>107.88495199428282</v>
      </c>
      <c r="L12" s="73" t="s">
        <v>61</v>
      </c>
      <c r="M12" s="138">
        <v>22346</v>
      </c>
      <c r="N12" s="138">
        <v>94278</v>
      </c>
      <c r="O12" s="138">
        <v>522786</v>
      </c>
      <c r="P12" s="138">
        <v>29033</v>
      </c>
      <c r="Q12" s="138">
        <v>98614</v>
      </c>
      <c r="R12" s="138">
        <v>281017</v>
      </c>
      <c r="S12" s="27"/>
      <c r="T12" s="27"/>
      <c r="U12" s="27"/>
    </row>
    <row r="13" spans="1:21" ht="13.5" x14ac:dyDescent="0.2">
      <c r="A13" s="72">
        <v>8</v>
      </c>
      <c r="B13" s="73" t="s">
        <v>62</v>
      </c>
      <c r="C13" s="138">
        <v>527422.9</v>
      </c>
      <c r="D13" s="138">
        <v>1143393.95</v>
      </c>
      <c r="E13" s="138">
        <v>725825.15</v>
      </c>
      <c r="F13" s="138">
        <v>334515.73</v>
      </c>
      <c r="G13" s="138">
        <v>533778.32999999996</v>
      </c>
      <c r="H13" s="138">
        <v>366119.53</v>
      </c>
      <c r="I13" s="139">
        <f t="shared" si="1"/>
        <v>63.424574473349558</v>
      </c>
      <c r="J13" s="139">
        <f t="shared" si="0"/>
        <v>46.683676260487466</v>
      </c>
      <c r="K13" s="139">
        <f t="shared" si="0"/>
        <v>50.441835750662534</v>
      </c>
      <c r="L13" s="73" t="s">
        <v>62</v>
      </c>
      <c r="M13" s="138">
        <v>495877</v>
      </c>
      <c r="N13" s="138">
        <v>617664</v>
      </c>
      <c r="O13" s="138">
        <v>1009771</v>
      </c>
      <c r="P13" s="138">
        <v>316788</v>
      </c>
      <c r="Q13" s="138">
        <v>351263</v>
      </c>
      <c r="R13" s="138">
        <v>536469</v>
      </c>
      <c r="S13" s="27"/>
      <c r="T13" s="27"/>
      <c r="U13" s="27"/>
    </row>
    <row r="14" spans="1:21" ht="13.5" x14ac:dyDescent="0.2">
      <c r="A14" s="72">
        <v>9</v>
      </c>
      <c r="B14" s="73" t="s">
        <v>49</v>
      </c>
      <c r="C14" s="138">
        <v>6525</v>
      </c>
      <c r="D14" s="138">
        <v>151834</v>
      </c>
      <c r="E14" s="138">
        <v>10525</v>
      </c>
      <c r="F14" s="138">
        <v>6461</v>
      </c>
      <c r="G14" s="138">
        <v>295988</v>
      </c>
      <c r="H14" s="138">
        <v>16160</v>
      </c>
      <c r="I14" s="139">
        <f t="shared" si="1"/>
        <v>99.019157088122611</v>
      </c>
      <c r="J14" s="139">
        <f t="shared" si="0"/>
        <v>194.9418443826811</v>
      </c>
      <c r="K14" s="139">
        <f t="shared" si="0"/>
        <v>153.53919239904988</v>
      </c>
      <c r="L14" s="73" t="s">
        <v>49</v>
      </c>
      <c r="M14" s="138">
        <v>6132.43</v>
      </c>
      <c r="N14" s="138">
        <v>10623</v>
      </c>
      <c r="O14" s="138">
        <v>140239</v>
      </c>
      <c r="P14" s="138">
        <v>5481.06</v>
      </c>
      <c r="Q14" s="138">
        <v>16885</v>
      </c>
      <c r="R14" s="138">
        <v>256295</v>
      </c>
      <c r="S14" s="27"/>
      <c r="T14" s="27"/>
      <c r="U14" s="27"/>
    </row>
    <row r="15" spans="1:21" ht="13.5" x14ac:dyDescent="0.2">
      <c r="A15" s="72">
        <v>10</v>
      </c>
      <c r="B15" s="73" t="s">
        <v>50</v>
      </c>
      <c r="C15" s="138">
        <v>10586.5</v>
      </c>
      <c r="D15" s="138">
        <v>223334.92</v>
      </c>
      <c r="E15" s="138">
        <v>25246.87</v>
      </c>
      <c r="F15" s="138">
        <v>6224.51</v>
      </c>
      <c r="G15" s="138">
        <v>170141.7</v>
      </c>
      <c r="H15" s="138">
        <v>17366.939999999999</v>
      </c>
      <c r="I15" s="139">
        <f t="shared" si="1"/>
        <v>58.796675010626743</v>
      </c>
      <c r="J15" s="139">
        <f t="shared" si="0"/>
        <v>76.182309510756312</v>
      </c>
      <c r="K15" s="139">
        <f t="shared" si="0"/>
        <v>68.788487444186146</v>
      </c>
      <c r="L15" s="73" t="s">
        <v>50</v>
      </c>
      <c r="M15" s="138">
        <v>9439</v>
      </c>
      <c r="N15" s="138">
        <v>24135</v>
      </c>
      <c r="O15" s="138">
        <v>234142</v>
      </c>
      <c r="P15" s="138">
        <v>6137</v>
      </c>
      <c r="Q15" s="138">
        <v>16653</v>
      </c>
      <c r="R15" s="138">
        <v>157111</v>
      </c>
      <c r="S15" s="27"/>
      <c r="T15" s="27"/>
      <c r="U15" s="27"/>
    </row>
    <row r="16" spans="1:21" ht="13.5" x14ac:dyDescent="0.2">
      <c r="A16" s="72">
        <v>11</v>
      </c>
      <c r="B16" s="73" t="s">
        <v>82</v>
      </c>
      <c r="C16" s="142">
        <v>3737</v>
      </c>
      <c r="D16" s="142">
        <v>542688</v>
      </c>
      <c r="E16" s="142">
        <v>80535</v>
      </c>
      <c r="F16" s="142">
        <v>12310</v>
      </c>
      <c r="G16" s="142">
        <v>319392</v>
      </c>
      <c r="H16" s="150">
        <v>41935</v>
      </c>
      <c r="I16" s="139">
        <f t="shared" si="1"/>
        <v>329.40861653732941</v>
      </c>
      <c r="J16" s="139">
        <f t="shared" si="0"/>
        <v>58.853705996815847</v>
      </c>
      <c r="K16" s="139">
        <f t="shared" si="0"/>
        <v>52.070528341714784</v>
      </c>
      <c r="L16" s="73" t="s">
        <v>82</v>
      </c>
      <c r="M16" s="142">
        <v>2981</v>
      </c>
      <c r="N16" s="142">
        <v>72216</v>
      </c>
      <c r="O16" s="142">
        <v>497948</v>
      </c>
      <c r="P16" s="142">
        <v>14019</v>
      </c>
      <c r="Q16" s="142">
        <v>45059</v>
      </c>
      <c r="R16" s="150">
        <v>341449</v>
      </c>
      <c r="S16" s="27"/>
      <c r="T16" s="27"/>
      <c r="U16" s="27"/>
    </row>
    <row r="17" spans="1:21" ht="13.5" x14ac:dyDescent="0.2">
      <c r="A17" s="72">
        <v>12</v>
      </c>
      <c r="B17" s="73" t="s">
        <v>63</v>
      </c>
      <c r="C17" s="138">
        <v>0</v>
      </c>
      <c r="D17" s="138">
        <v>74410.77</v>
      </c>
      <c r="E17" s="138">
        <v>6999.51</v>
      </c>
      <c r="F17" s="138">
        <v>0</v>
      </c>
      <c r="G17" s="138">
        <v>29209.53</v>
      </c>
      <c r="H17" s="138">
        <v>4000.15</v>
      </c>
      <c r="I17" s="139">
        <v>0</v>
      </c>
      <c r="J17" s="139">
        <f t="shared" si="0"/>
        <v>39.254438571190704</v>
      </c>
      <c r="K17" s="139">
        <f t="shared" si="0"/>
        <v>57.1490004300301</v>
      </c>
      <c r="L17" s="73" t="s">
        <v>63</v>
      </c>
      <c r="M17" s="138">
        <v>0</v>
      </c>
      <c r="N17" s="138">
        <v>6453.67</v>
      </c>
      <c r="O17" s="138">
        <v>72257.179999999993</v>
      </c>
      <c r="P17" s="138">
        <v>0</v>
      </c>
      <c r="Q17" s="138">
        <v>3524.37</v>
      </c>
      <c r="R17" s="138">
        <v>66160.539999999994</v>
      </c>
      <c r="S17" s="27"/>
      <c r="T17" s="27"/>
      <c r="U17" s="27"/>
    </row>
    <row r="18" spans="1:21" ht="13.5" x14ac:dyDescent="0.2">
      <c r="A18" s="72">
        <v>13</v>
      </c>
      <c r="B18" s="73" t="s">
        <v>64</v>
      </c>
      <c r="C18" s="142">
        <v>8093</v>
      </c>
      <c r="D18" s="142">
        <v>11038</v>
      </c>
      <c r="E18" s="142">
        <v>160354</v>
      </c>
      <c r="F18" s="142">
        <v>5331</v>
      </c>
      <c r="G18" s="142">
        <v>6353</v>
      </c>
      <c r="H18" s="150">
        <v>85781</v>
      </c>
      <c r="I18" s="139">
        <f t="shared" si="1"/>
        <v>65.871741010750029</v>
      </c>
      <c r="J18" s="139">
        <f t="shared" si="0"/>
        <v>57.555716615328862</v>
      </c>
      <c r="K18" s="139">
        <f t="shared" si="0"/>
        <v>53.494767826184564</v>
      </c>
      <c r="L18" s="73" t="s">
        <v>64</v>
      </c>
      <c r="M18" s="142">
        <v>7592</v>
      </c>
      <c r="N18" s="142">
        <v>11879</v>
      </c>
      <c r="O18" s="142">
        <v>155196</v>
      </c>
      <c r="P18" s="142">
        <v>5160</v>
      </c>
      <c r="Q18" s="142">
        <v>7869</v>
      </c>
      <c r="R18" s="150">
        <v>81945</v>
      </c>
      <c r="S18" s="27"/>
      <c r="T18" s="27"/>
      <c r="U18" s="27"/>
    </row>
    <row r="19" spans="1:21" ht="13.5" x14ac:dyDescent="0.2">
      <c r="A19" s="72">
        <v>14</v>
      </c>
      <c r="B19" s="73" t="s">
        <v>208</v>
      </c>
      <c r="C19" s="142">
        <v>5555</v>
      </c>
      <c r="D19" s="142">
        <v>384460</v>
      </c>
      <c r="E19" s="142">
        <v>51581</v>
      </c>
      <c r="F19" s="142">
        <v>5268</v>
      </c>
      <c r="G19" s="142">
        <v>168545</v>
      </c>
      <c r="H19" s="150">
        <v>33973</v>
      </c>
      <c r="I19" s="139">
        <f t="shared" si="1"/>
        <v>94.833483348334838</v>
      </c>
      <c r="J19" s="139">
        <f t="shared" si="0"/>
        <v>43.839411122093324</v>
      </c>
      <c r="K19" s="139">
        <f t="shared" si="0"/>
        <v>65.863399313700782</v>
      </c>
      <c r="L19" s="73" t="s">
        <v>241</v>
      </c>
      <c r="M19" s="142">
        <v>5766</v>
      </c>
      <c r="N19" s="142">
        <v>50840</v>
      </c>
      <c r="O19" s="142">
        <v>388113</v>
      </c>
      <c r="P19" s="142">
        <v>5151</v>
      </c>
      <c r="Q19" s="142">
        <v>37323</v>
      </c>
      <c r="R19" s="150">
        <v>170525</v>
      </c>
      <c r="S19" s="27"/>
      <c r="T19" s="27"/>
      <c r="U19" s="27"/>
    </row>
    <row r="20" spans="1:21" ht="13.5" x14ac:dyDescent="0.2">
      <c r="A20" s="72">
        <v>15</v>
      </c>
      <c r="B20" s="73" t="s">
        <v>209</v>
      </c>
      <c r="C20" s="138">
        <v>9481</v>
      </c>
      <c r="D20" s="138">
        <v>104516</v>
      </c>
      <c r="E20" s="138">
        <v>27490</v>
      </c>
      <c r="F20" s="138">
        <v>5792</v>
      </c>
      <c r="G20" s="138">
        <v>45618</v>
      </c>
      <c r="H20" s="138">
        <v>13897</v>
      </c>
      <c r="I20" s="139">
        <f t="shared" si="1"/>
        <v>61.090602257145868</v>
      </c>
      <c r="J20" s="139">
        <f t="shared" si="0"/>
        <v>43.646905736920665</v>
      </c>
      <c r="K20" s="139">
        <f t="shared" si="0"/>
        <v>50.552928337577299</v>
      </c>
      <c r="L20" s="73" t="s">
        <v>84</v>
      </c>
      <c r="M20" s="138">
        <v>8296</v>
      </c>
      <c r="N20" s="138">
        <v>30092</v>
      </c>
      <c r="O20" s="138">
        <v>97974</v>
      </c>
      <c r="P20" s="138">
        <v>5418</v>
      </c>
      <c r="Q20" s="138">
        <v>13330</v>
      </c>
      <c r="R20" s="138">
        <v>44819</v>
      </c>
      <c r="S20" s="27"/>
      <c r="T20" s="27"/>
      <c r="U20" s="27"/>
    </row>
    <row r="21" spans="1:21" ht="13.5" x14ac:dyDescent="0.2">
      <c r="A21" s="72">
        <v>16</v>
      </c>
      <c r="B21" s="73" t="s">
        <v>65</v>
      </c>
      <c r="C21" s="138">
        <v>146791</v>
      </c>
      <c r="D21" s="138">
        <v>1367623</v>
      </c>
      <c r="E21" s="138">
        <v>323096</v>
      </c>
      <c r="F21" s="138">
        <v>159341</v>
      </c>
      <c r="G21" s="138">
        <v>990846</v>
      </c>
      <c r="H21" s="138">
        <v>183374</v>
      </c>
      <c r="I21" s="139">
        <f t="shared" si="1"/>
        <v>108.54957047775409</v>
      </c>
      <c r="J21" s="139">
        <f t="shared" si="0"/>
        <v>72.450229339518273</v>
      </c>
      <c r="K21" s="139">
        <f t="shared" si="0"/>
        <v>56.755267784187978</v>
      </c>
      <c r="L21" s="73" t="s">
        <v>65</v>
      </c>
      <c r="M21" s="138">
        <v>141887</v>
      </c>
      <c r="N21" s="138">
        <v>314188</v>
      </c>
      <c r="O21" s="138">
        <v>1322846</v>
      </c>
      <c r="P21" s="138">
        <v>151451</v>
      </c>
      <c r="Q21" s="138">
        <v>175958</v>
      </c>
      <c r="R21" s="138">
        <v>972541</v>
      </c>
      <c r="S21" s="27"/>
      <c r="T21" s="27"/>
      <c r="U21" s="27"/>
    </row>
    <row r="22" spans="1:21" ht="13.5" x14ac:dyDescent="0.2">
      <c r="A22" s="72">
        <v>17</v>
      </c>
      <c r="B22" s="73" t="s">
        <v>70</v>
      </c>
      <c r="C22" s="138">
        <v>0</v>
      </c>
      <c r="D22" s="138">
        <v>0</v>
      </c>
      <c r="E22" s="138">
        <v>30552</v>
      </c>
      <c r="F22" s="138">
        <v>0</v>
      </c>
      <c r="G22" s="138">
        <v>0</v>
      </c>
      <c r="H22" s="138">
        <v>34177</v>
      </c>
      <c r="I22" s="139">
        <v>0</v>
      </c>
      <c r="J22" s="139">
        <v>0</v>
      </c>
      <c r="K22" s="139">
        <f t="shared" si="1"/>
        <v>111.86501702016234</v>
      </c>
      <c r="L22" s="73" t="s">
        <v>70</v>
      </c>
      <c r="M22" s="138">
        <v>0</v>
      </c>
      <c r="N22" s="138">
        <v>0</v>
      </c>
      <c r="O22" s="138">
        <v>32137</v>
      </c>
      <c r="P22" s="138">
        <v>0</v>
      </c>
      <c r="Q22" s="138">
        <v>0</v>
      </c>
      <c r="R22" s="138">
        <v>34809</v>
      </c>
      <c r="S22" s="27"/>
      <c r="T22" s="27"/>
      <c r="U22" s="27"/>
    </row>
    <row r="23" spans="1:21" ht="13.5" x14ac:dyDescent="0.2">
      <c r="A23" s="72">
        <v>18</v>
      </c>
      <c r="B23" s="73" t="s">
        <v>210</v>
      </c>
      <c r="C23" s="138">
        <v>0</v>
      </c>
      <c r="D23" s="138">
        <v>0</v>
      </c>
      <c r="E23" s="138">
        <v>20548</v>
      </c>
      <c r="F23" s="138">
        <v>0</v>
      </c>
      <c r="G23" s="138">
        <v>0</v>
      </c>
      <c r="H23" s="138">
        <v>39596</v>
      </c>
      <c r="I23" s="139">
        <v>0</v>
      </c>
      <c r="J23" s="139">
        <v>0</v>
      </c>
      <c r="K23" s="139">
        <f t="shared" si="1"/>
        <v>192.70001946661475</v>
      </c>
      <c r="L23" s="73" t="s">
        <v>85</v>
      </c>
      <c r="M23" s="138">
        <v>0</v>
      </c>
      <c r="N23" s="138">
        <v>0</v>
      </c>
      <c r="O23" s="138">
        <v>18258</v>
      </c>
      <c r="P23" s="138">
        <v>0</v>
      </c>
      <c r="Q23" s="138">
        <v>0</v>
      </c>
      <c r="R23" s="138">
        <v>61150</v>
      </c>
      <c r="S23" s="27"/>
      <c r="T23" s="27"/>
      <c r="U23" s="27"/>
    </row>
    <row r="24" spans="1:21" ht="13.5" x14ac:dyDescent="0.2">
      <c r="A24" s="72">
        <v>19</v>
      </c>
      <c r="B24" s="73" t="s">
        <v>211</v>
      </c>
      <c r="C24" s="138">
        <v>0</v>
      </c>
      <c r="D24" s="138">
        <v>0</v>
      </c>
      <c r="E24" s="138">
        <v>53411</v>
      </c>
      <c r="F24" s="138">
        <v>0</v>
      </c>
      <c r="G24" s="138">
        <v>0</v>
      </c>
      <c r="H24" s="138">
        <v>106559</v>
      </c>
      <c r="I24" s="139">
        <v>0</v>
      </c>
      <c r="J24" s="139">
        <v>0</v>
      </c>
      <c r="K24" s="139">
        <f t="shared" si="1"/>
        <v>199.50759206904945</v>
      </c>
      <c r="L24" s="73" t="s">
        <v>86</v>
      </c>
      <c r="M24" s="138">
        <v>0</v>
      </c>
      <c r="N24" s="138">
        <v>0</v>
      </c>
      <c r="O24" s="138">
        <v>52389</v>
      </c>
      <c r="P24" s="138">
        <v>0</v>
      </c>
      <c r="Q24" s="138">
        <v>0</v>
      </c>
      <c r="R24" s="138">
        <v>97032</v>
      </c>
      <c r="S24" s="27"/>
      <c r="T24" s="27"/>
      <c r="U24" s="27"/>
    </row>
    <row r="25" spans="1:21" ht="13.5" x14ac:dyDescent="0.2">
      <c r="A25" s="72">
        <v>20</v>
      </c>
      <c r="B25" s="73" t="s">
        <v>212</v>
      </c>
      <c r="C25" s="138">
        <v>0</v>
      </c>
      <c r="D25" s="138">
        <v>0</v>
      </c>
      <c r="E25" s="138">
        <v>24699</v>
      </c>
      <c r="F25" s="138">
        <v>0</v>
      </c>
      <c r="G25" s="138">
        <v>0</v>
      </c>
      <c r="H25" s="138">
        <v>46163</v>
      </c>
      <c r="I25" s="139">
        <v>0</v>
      </c>
      <c r="J25" s="139">
        <v>0</v>
      </c>
      <c r="K25" s="139">
        <f t="shared" si="1"/>
        <v>186.90230373699339</v>
      </c>
      <c r="L25" s="73" t="s">
        <v>87</v>
      </c>
      <c r="M25" s="138">
        <v>0</v>
      </c>
      <c r="N25" s="138">
        <v>0</v>
      </c>
      <c r="O25" s="138">
        <v>14425</v>
      </c>
      <c r="P25" s="138">
        <v>0</v>
      </c>
      <c r="Q25" s="138">
        <v>0</v>
      </c>
      <c r="R25" s="138">
        <v>7917</v>
      </c>
      <c r="S25" s="27"/>
      <c r="T25" s="27"/>
      <c r="U25" s="27"/>
    </row>
    <row r="26" spans="1:21" ht="13.5" x14ac:dyDescent="0.2">
      <c r="A26" s="72">
        <v>21</v>
      </c>
      <c r="B26" s="73" t="s">
        <v>213</v>
      </c>
      <c r="C26" s="138">
        <v>0</v>
      </c>
      <c r="D26" s="138">
        <v>0</v>
      </c>
      <c r="E26" s="138">
        <v>62837</v>
      </c>
      <c r="F26" s="138">
        <v>0</v>
      </c>
      <c r="G26" s="138">
        <v>0</v>
      </c>
      <c r="H26" s="138">
        <v>79593</v>
      </c>
      <c r="I26" s="139">
        <v>0</v>
      </c>
      <c r="J26" s="139">
        <v>0</v>
      </c>
      <c r="K26" s="139">
        <f t="shared" si="1"/>
        <v>126.6658179098302</v>
      </c>
      <c r="L26" s="73" t="s">
        <v>88</v>
      </c>
      <c r="M26" s="138">
        <v>0</v>
      </c>
      <c r="N26" s="138">
        <v>0</v>
      </c>
      <c r="O26" s="138">
        <v>58579</v>
      </c>
      <c r="P26" s="138">
        <v>0</v>
      </c>
      <c r="Q26" s="138">
        <v>0</v>
      </c>
      <c r="R26" s="138">
        <v>81765</v>
      </c>
      <c r="S26" s="27"/>
      <c r="T26" s="27"/>
      <c r="U26" s="27"/>
    </row>
    <row r="27" spans="1:21" ht="13.5" x14ac:dyDescent="0.2">
      <c r="A27" s="72">
        <v>22</v>
      </c>
      <c r="B27" s="73" t="s">
        <v>71</v>
      </c>
      <c r="C27" s="138">
        <v>829468</v>
      </c>
      <c r="D27" s="138">
        <v>5870926</v>
      </c>
      <c r="E27" s="138">
        <v>2707457</v>
      </c>
      <c r="F27" s="138">
        <v>643569</v>
      </c>
      <c r="G27" s="138">
        <v>3866396</v>
      </c>
      <c r="H27" s="138">
        <v>1317979</v>
      </c>
      <c r="I27" s="139">
        <f t="shared" si="1"/>
        <v>77.588164944277537</v>
      </c>
      <c r="J27" s="139">
        <f t="shared" si="1"/>
        <v>65.8566638380385</v>
      </c>
      <c r="K27" s="139">
        <f t="shared" si="1"/>
        <v>48.679591217884528</v>
      </c>
      <c r="L27" s="73" t="s">
        <v>71</v>
      </c>
      <c r="M27" s="138">
        <v>793186</v>
      </c>
      <c r="N27" s="138">
        <v>2556969</v>
      </c>
      <c r="O27" s="138">
        <v>5668956</v>
      </c>
      <c r="P27" s="138">
        <v>617537</v>
      </c>
      <c r="Q27" s="138">
        <v>1757846</v>
      </c>
      <c r="R27" s="138">
        <v>3264995</v>
      </c>
      <c r="S27" s="27"/>
      <c r="T27" s="27"/>
      <c r="U27" s="27"/>
    </row>
    <row r="28" spans="1:21" ht="13.5" x14ac:dyDescent="0.2">
      <c r="A28" s="72">
        <v>23</v>
      </c>
      <c r="B28" s="73" t="s">
        <v>66</v>
      </c>
      <c r="C28" s="138">
        <v>16181</v>
      </c>
      <c r="D28" s="138">
        <v>155104.59</v>
      </c>
      <c r="E28" s="138">
        <v>119655</v>
      </c>
      <c r="F28" s="138">
        <v>14354</v>
      </c>
      <c r="G28" s="138">
        <v>33794.480000000003</v>
      </c>
      <c r="H28" s="138">
        <v>99551</v>
      </c>
      <c r="I28" s="139">
        <f t="shared" si="1"/>
        <v>88.708979667511272</v>
      </c>
      <c r="J28" s="139">
        <f t="shared" si="1"/>
        <v>21.788188215448688</v>
      </c>
      <c r="K28" s="139">
        <f t="shared" si="1"/>
        <v>83.198361957293884</v>
      </c>
      <c r="L28" s="73" t="s">
        <v>66</v>
      </c>
      <c r="M28" s="138">
        <v>16521</v>
      </c>
      <c r="N28" s="138">
        <v>19405</v>
      </c>
      <c r="O28" s="138">
        <v>265526</v>
      </c>
      <c r="P28" s="138">
        <v>11204</v>
      </c>
      <c r="Q28" s="138">
        <v>9604</v>
      </c>
      <c r="R28" s="138">
        <v>118794</v>
      </c>
      <c r="S28" s="27"/>
      <c r="T28" s="27"/>
      <c r="U28" s="27"/>
    </row>
    <row r="29" spans="1:21" ht="13.5" x14ac:dyDescent="0.2">
      <c r="A29" s="72">
        <v>24</v>
      </c>
      <c r="B29" s="73" t="s">
        <v>214</v>
      </c>
      <c r="C29" s="138">
        <v>103976.49</v>
      </c>
      <c r="D29" s="138">
        <v>448398.63</v>
      </c>
      <c r="E29" s="138">
        <v>97477.96</v>
      </c>
      <c r="F29" s="138">
        <v>74058.11</v>
      </c>
      <c r="G29" s="138">
        <v>305605.76000000001</v>
      </c>
      <c r="H29" s="138">
        <v>62474.09</v>
      </c>
      <c r="I29" s="139">
        <f t="shared" si="1"/>
        <v>71.225822298867755</v>
      </c>
      <c r="J29" s="139">
        <f t="shared" si="1"/>
        <v>68.154927235170192</v>
      </c>
      <c r="K29" s="139">
        <f t="shared" si="1"/>
        <v>64.090477478190962</v>
      </c>
      <c r="L29" s="73" t="s">
        <v>214</v>
      </c>
      <c r="M29" s="138">
        <v>96001</v>
      </c>
      <c r="N29" s="138">
        <v>90001</v>
      </c>
      <c r="O29" s="138">
        <v>414006</v>
      </c>
      <c r="P29" s="138">
        <v>73989</v>
      </c>
      <c r="Q29" s="138">
        <v>65154</v>
      </c>
      <c r="R29" s="138">
        <v>302584</v>
      </c>
      <c r="S29" s="27"/>
      <c r="T29" s="27"/>
      <c r="U29" s="27"/>
    </row>
    <row r="30" spans="1:21" ht="13.5" x14ac:dyDescent="0.2">
      <c r="A30" s="72">
        <v>25</v>
      </c>
      <c r="B30" s="73" t="s">
        <v>67</v>
      </c>
      <c r="C30" s="138">
        <v>281172.8</v>
      </c>
      <c r="D30" s="138">
        <v>1379116.79</v>
      </c>
      <c r="E30" s="138">
        <v>400617.52</v>
      </c>
      <c r="F30" s="138">
        <v>127166.83</v>
      </c>
      <c r="G30" s="138">
        <v>554083.42000000004</v>
      </c>
      <c r="H30" s="138">
        <v>161727.45000000001</v>
      </c>
      <c r="I30" s="139">
        <f t="shared" si="1"/>
        <v>45.227287276720936</v>
      </c>
      <c r="J30" s="139">
        <f t="shared" si="1"/>
        <v>40.176685833837183</v>
      </c>
      <c r="K30" s="139">
        <f t="shared" si="1"/>
        <v>40.369540004141612</v>
      </c>
      <c r="L30" s="73" t="s">
        <v>67</v>
      </c>
      <c r="M30" s="138">
        <v>348766.23</v>
      </c>
      <c r="N30" s="138">
        <v>350563.77</v>
      </c>
      <c r="O30" s="138">
        <v>1284502.5900000001</v>
      </c>
      <c r="P30" s="138">
        <v>137025.68</v>
      </c>
      <c r="Q30" s="138">
        <v>158321.91</v>
      </c>
      <c r="R30" s="138">
        <v>476630.91</v>
      </c>
      <c r="S30" s="27"/>
      <c r="T30" s="27"/>
      <c r="U30" s="27"/>
    </row>
    <row r="31" spans="1:21" ht="13.5" x14ac:dyDescent="0.2">
      <c r="A31" s="72">
        <v>26</v>
      </c>
      <c r="B31" s="73" t="s">
        <v>68</v>
      </c>
      <c r="C31" s="138">
        <v>0</v>
      </c>
      <c r="D31" s="138">
        <v>0</v>
      </c>
      <c r="E31" s="138">
        <v>26909</v>
      </c>
      <c r="F31" s="138">
        <v>0</v>
      </c>
      <c r="G31" s="138">
        <v>0</v>
      </c>
      <c r="H31" s="138">
        <v>25944</v>
      </c>
      <c r="I31" s="139">
        <v>0</v>
      </c>
      <c r="J31" s="139">
        <v>0</v>
      </c>
      <c r="K31" s="139">
        <f t="shared" si="1"/>
        <v>96.413839235943371</v>
      </c>
      <c r="L31" s="73" t="s">
        <v>68</v>
      </c>
      <c r="M31" s="138">
        <v>0</v>
      </c>
      <c r="N31" s="138">
        <v>0</v>
      </c>
      <c r="O31" s="138">
        <v>26117</v>
      </c>
      <c r="P31" s="138">
        <v>0</v>
      </c>
      <c r="Q31" s="138">
        <v>0</v>
      </c>
      <c r="R31" s="138">
        <v>32858</v>
      </c>
      <c r="S31" s="27"/>
      <c r="T31" s="27"/>
      <c r="U31" s="27"/>
    </row>
    <row r="32" spans="1:21" ht="13.5" x14ac:dyDescent="0.2">
      <c r="A32" s="72">
        <v>27</v>
      </c>
      <c r="B32" s="73" t="s">
        <v>51</v>
      </c>
      <c r="C32" s="138">
        <v>1449</v>
      </c>
      <c r="D32" s="138">
        <v>12507</v>
      </c>
      <c r="E32" s="138">
        <v>121763</v>
      </c>
      <c r="F32" s="138">
        <v>2730</v>
      </c>
      <c r="G32" s="138">
        <v>14257</v>
      </c>
      <c r="H32" s="138">
        <v>60790</v>
      </c>
      <c r="I32" s="139">
        <f t="shared" si="1"/>
        <v>188.40579710144928</v>
      </c>
      <c r="J32" s="139">
        <f t="shared" si="1"/>
        <v>113.99216438794275</v>
      </c>
      <c r="K32" s="139">
        <f t="shared" si="1"/>
        <v>49.924854019693996</v>
      </c>
      <c r="L32" s="73" t="s">
        <v>51</v>
      </c>
      <c r="M32" s="138">
        <v>1320</v>
      </c>
      <c r="N32" s="138">
        <v>11754</v>
      </c>
      <c r="O32" s="138">
        <v>116978</v>
      </c>
      <c r="P32" s="138">
        <v>2282</v>
      </c>
      <c r="Q32" s="138">
        <v>12619</v>
      </c>
      <c r="R32" s="138">
        <v>57113</v>
      </c>
      <c r="S32" s="27"/>
      <c r="T32" s="27"/>
      <c r="U32" s="27"/>
    </row>
    <row r="33" spans="1:21" ht="13.5" x14ac:dyDescent="0.2">
      <c r="A33" s="72"/>
      <c r="B33" s="84" t="s">
        <v>414</v>
      </c>
      <c r="C33" s="140">
        <f>SUM(C6:C32)</f>
        <v>2749317.95</v>
      </c>
      <c r="D33" s="140">
        <f t="shared" ref="D33:H33" si="2">SUM(D6:D32)</f>
        <v>15149219.09</v>
      </c>
      <c r="E33" s="140">
        <f t="shared" si="2"/>
        <v>6295141.5299999993</v>
      </c>
      <c r="F33" s="140">
        <f t="shared" si="2"/>
        <v>2316378.02</v>
      </c>
      <c r="G33" s="140">
        <f t="shared" si="2"/>
        <v>9285457.4800000004</v>
      </c>
      <c r="H33" s="140">
        <f t="shared" si="2"/>
        <v>3786138.99</v>
      </c>
      <c r="I33" s="141">
        <f t="shared" si="1"/>
        <v>84.252824232279124</v>
      </c>
      <c r="J33" s="141">
        <f t="shared" si="1"/>
        <v>61.29330775953548</v>
      </c>
      <c r="K33" s="141">
        <f t="shared" si="1"/>
        <v>60.143826345394338</v>
      </c>
      <c r="L33" s="84" t="s">
        <v>215</v>
      </c>
      <c r="M33" s="140">
        <v>2801119.6599999997</v>
      </c>
      <c r="N33" s="140">
        <v>5162955.7200000007</v>
      </c>
      <c r="O33" s="140">
        <v>15059783.109999999</v>
      </c>
      <c r="P33" s="140">
        <v>2286532.2800000003</v>
      </c>
      <c r="Q33" s="140">
        <v>3629195.4200000004</v>
      </c>
      <c r="R33" s="140">
        <v>9267455.5500000007</v>
      </c>
      <c r="S33" s="27"/>
      <c r="T33" s="27"/>
      <c r="U33" s="27"/>
    </row>
    <row r="34" spans="1:21" ht="13.5" x14ac:dyDescent="0.2">
      <c r="A34" s="72">
        <v>28</v>
      </c>
      <c r="B34" s="73" t="s">
        <v>48</v>
      </c>
      <c r="C34" s="138">
        <v>29116.3</v>
      </c>
      <c r="D34" s="138">
        <v>574697.57999999996</v>
      </c>
      <c r="E34" s="138">
        <v>83896.85</v>
      </c>
      <c r="F34" s="138">
        <v>7201.27</v>
      </c>
      <c r="G34" s="138">
        <v>551621.36</v>
      </c>
      <c r="H34" s="138">
        <v>33430.04</v>
      </c>
      <c r="I34" s="139">
        <f t="shared" si="1"/>
        <v>24.732778546724688</v>
      </c>
      <c r="J34" s="139">
        <f t="shared" si="1"/>
        <v>95.984632474004854</v>
      </c>
      <c r="K34" s="139">
        <f t="shared" si="1"/>
        <v>39.846597339471025</v>
      </c>
      <c r="S34" s="27"/>
      <c r="T34" s="27"/>
      <c r="U34" s="27"/>
    </row>
    <row r="35" spans="1:21" ht="15" customHeight="1" x14ac:dyDescent="0.2">
      <c r="A35" s="72">
        <v>29</v>
      </c>
      <c r="B35" s="88" t="s">
        <v>216</v>
      </c>
      <c r="C35" s="138">
        <v>2170</v>
      </c>
      <c r="D35" s="138">
        <v>12817</v>
      </c>
      <c r="E35" s="138">
        <v>3407</v>
      </c>
      <c r="F35" s="138">
        <v>12460</v>
      </c>
      <c r="G35" s="138">
        <v>21925</v>
      </c>
      <c r="H35" s="138">
        <v>15967</v>
      </c>
      <c r="I35" s="139">
        <f t="shared" si="1"/>
        <v>574.19354838709683</v>
      </c>
      <c r="J35" s="139">
        <f t="shared" si="1"/>
        <v>171.06187095264102</v>
      </c>
      <c r="K35" s="139">
        <f t="shared" si="1"/>
        <v>468.65277370120339</v>
      </c>
      <c r="S35" s="27"/>
      <c r="T35" s="27"/>
      <c r="U35" s="27"/>
    </row>
    <row r="36" spans="1:21" ht="13.5" x14ac:dyDescent="0.2">
      <c r="A36" s="72">
        <v>30</v>
      </c>
      <c r="B36" s="73" t="s">
        <v>217</v>
      </c>
      <c r="C36" s="138">
        <v>0</v>
      </c>
      <c r="D36" s="138">
        <v>0</v>
      </c>
      <c r="E36" s="138">
        <v>3000</v>
      </c>
      <c r="F36" s="138">
        <v>0</v>
      </c>
      <c r="G36" s="138">
        <v>0</v>
      </c>
      <c r="H36" s="138">
        <v>703</v>
      </c>
      <c r="I36" s="139">
        <v>0</v>
      </c>
      <c r="J36" s="139">
        <v>0</v>
      </c>
      <c r="K36" s="139">
        <f t="shared" si="1"/>
        <v>23.433333333333334</v>
      </c>
      <c r="S36" s="27"/>
      <c r="T36" s="27"/>
      <c r="U36" s="27"/>
    </row>
    <row r="37" spans="1:21" ht="13.5" x14ac:dyDescent="0.2">
      <c r="A37" s="72">
        <v>31</v>
      </c>
      <c r="B37" s="73" t="s">
        <v>79</v>
      </c>
      <c r="C37" s="138">
        <v>0</v>
      </c>
      <c r="D37" s="138">
        <v>0</v>
      </c>
      <c r="E37" s="138">
        <v>3695</v>
      </c>
      <c r="F37" s="138">
        <v>0</v>
      </c>
      <c r="G37" s="138">
        <v>0</v>
      </c>
      <c r="H37" s="138">
        <v>34909</v>
      </c>
      <c r="I37" s="139">
        <v>0</v>
      </c>
      <c r="J37" s="139">
        <v>0</v>
      </c>
      <c r="K37" s="139">
        <f t="shared" si="1"/>
        <v>944.76319350473614</v>
      </c>
      <c r="S37" s="27"/>
      <c r="T37" s="27"/>
      <c r="U37" s="27"/>
    </row>
    <row r="38" spans="1:21" ht="13.5" x14ac:dyDescent="0.2">
      <c r="A38" s="72">
        <v>32</v>
      </c>
      <c r="B38" s="73" t="s">
        <v>52</v>
      </c>
      <c r="C38" s="138">
        <v>0</v>
      </c>
      <c r="D38" s="138">
        <v>0</v>
      </c>
      <c r="E38" s="138">
        <v>5889.54</v>
      </c>
      <c r="F38" s="138">
        <v>0</v>
      </c>
      <c r="G38" s="138">
        <v>0</v>
      </c>
      <c r="H38" s="138">
        <v>8636.6299999999992</v>
      </c>
      <c r="I38" s="139">
        <v>0</v>
      </c>
      <c r="J38" s="139">
        <v>0</v>
      </c>
      <c r="K38" s="139">
        <f t="shared" si="1"/>
        <v>146.64354092170186</v>
      </c>
      <c r="S38" s="27"/>
      <c r="T38" s="27"/>
      <c r="U38" s="27"/>
    </row>
    <row r="39" spans="1:21" ht="13.5" x14ac:dyDescent="0.2">
      <c r="A39" s="72">
        <v>33</v>
      </c>
      <c r="B39" s="73" t="s">
        <v>218</v>
      </c>
      <c r="C39" s="138">
        <v>0</v>
      </c>
      <c r="D39" s="138">
        <v>0</v>
      </c>
      <c r="E39" s="138">
        <v>13229</v>
      </c>
      <c r="F39" s="138">
        <v>0</v>
      </c>
      <c r="G39" s="138">
        <v>0</v>
      </c>
      <c r="H39" s="138">
        <v>44795</v>
      </c>
      <c r="I39" s="139">
        <v>0</v>
      </c>
      <c r="J39" s="139">
        <v>0</v>
      </c>
      <c r="K39" s="139">
        <f t="shared" si="1"/>
        <v>338.61213999546453</v>
      </c>
      <c r="S39" s="27"/>
      <c r="T39" s="27"/>
      <c r="U39" s="27"/>
    </row>
    <row r="40" spans="1:21" ht="13.5" x14ac:dyDescent="0.2">
      <c r="A40" s="72">
        <v>34</v>
      </c>
      <c r="B40" s="73" t="s">
        <v>219</v>
      </c>
      <c r="C40" s="138">
        <v>0</v>
      </c>
      <c r="D40" s="138">
        <v>0</v>
      </c>
      <c r="E40" s="138">
        <v>657</v>
      </c>
      <c r="F40" s="138">
        <v>0</v>
      </c>
      <c r="G40" s="138">
        <v>0</v>
      </c>
      <c r="H40" s="138">
        <v>28</v>
      </c>
      <c r="I40" s="139">
        <v>0</v>
      </c>
      <c r="J40" s="139">
        <v>0</v>
      </c>
      <c r="K40" s="139">
        <f t="shared" si="1"/>
        <v>4.2617960426179602</v>
      </c>
      <c r="S40" s="27"/>
      <c r="T40" s="27"/>
      <c r="U40" s="27"/>
    </row>
    <row r="41" spans="1:21" ht="13.5" x14ac:dyDescent="0.2">
      <c r="A41" s="72">
        <v>35</v>
      </c>
      <c r="B41" s="73" t="s">
        <v>220</v>
      </c>
      <c r="C41" s="138">
        <v>398.42</v>
      </c>
      <c r="D41" s="138">
        <v>42935.55</v>
      </c>
      <c r="E41" s="138">
        <v>734.9</v>
      </c>
      <c r="F41" s="138">
        <v>1076.07</v>
      </c>
      <c r="G41" s="138">
        <v>12136</v>
      </c>
      <c r="H41" s="138">
        <v>3058.22</v>
      </c>
      <c r="I41" s="139">
        <v>0</v>
      </c>
      <c r="J41" s="139">
        <v>0</v>
      </c>
      <c r="K41" s="139">
        <f t="shared" si="1"/>
        <v>416.14097156075655</v>
      </c>
      <c r="S41" s="27"/>
      <c r="T41" s="27"/>
      <c r="U41" s="27"/>
    </row>
    <row r="42" spans="1:21" ht="13.5" x14ac:dyDescent="0.2">
      <c r="A42" s="72">
        <v>36</v>
      </c>
      <c r="B42" s="73" t="s">
        <v>72</v>
      </c>
      <c r="C42" s="138">
        <v>7039</v>
      </c>
      <c r="D42" s="138">
        <v>582324</v>
      </c>
      <c r="E42" s="138">
        <v>119113</v>
      </c>
      <c r="F42" s="138">
        <v>5380</v>
      </c>
      <c r="G42" s="138">
        <v>924441</v>
      </c>
      <c r="H42" s="138">
        <v>231290</v>
      </c>
      <c r="I42" s="139">
        <f t="shared" si="1"/>
        <v>76.431311265804808</v>
      </c>
      <c r="J42" s="139">
        <f t="shared" si="1"/>
        <v>158.75028334741484</v>
      </c>
      <c r="K42" s="139">
        <f t="shared" si="1"/>
        <v>194.17695801465834</v>
      </c>
      <c r="S42" s="27"/>
      <c r="T42" s="27"/>
      <c r="U42" s="27"/>
    </row>
    <row r="43" spans="1:21" ht="15" customHeight="1" x14ac:dyDescent="0.2">
      <c r="A43" s="72">
        <v>37</v>
      </c>
      <c r="B43" s="73" t="s">
        <v>73</v>
      </c>
      <c r="C43" s="138">
        <v>609.58000000000004</v>
      </c>
      <c r="D43" s="138">
        <v>377455.85</v>
      </c>
      <c r="E43" s="138">
        <v>231520.87</v>
      </c>
      <c r="F43" s="138">
        <v>3644.01</v>
      </c>
      <c r="G43" s="138">
        <v>460187.41</v>
      </c>
      <c r="H43" s="138">
        <v>577316.56000000006</v>
      </c>
      <c r="I43" s="139">
        <f t="shared" si="1"/>
        <v>597.79028183339346</v>
      </c>
      <c r="J43" s="139">
        <f t="shared" si="1"/>
        <v>121.91820844742504</v>
      </c>
      <c r="K43" s="139">
        <f t="shared" si="1"/>
        <v>249.35832350664546</v>
      </c>
      <c r="S43" s="27"/>
      <c r="T43" s="27"/>
      <c r="U43" s="27"/>
    </row>
    <row r="44" spans="1:21" ht="13.5" x14ac:dyDescent="0.2">
      <c r="A44" s="72">
        <v>38</v>
      </c>
      <c r="B44" s="73" t="s">
        <v>221</v>
      </c>
      <c r="C44" s="138">
        <v>229</v>
      </c>
      <c r="D44" s="138">
        <v>436</v>
      </c>
      <c r="E44" s="138">
        <v>447</v>
      </c>
      <c r="F44" s="138">
        <v>3492</v>
      </c>
      <c r="G44" s="138">
        <v>4053</v>
      </c>
      <c r="H44" s="138">
        <v>1253</v>
      </c>
      <c r="I44" s="139">
        <f t="shared" ref="I44" si="3">F44*100/C44</f>
        <v>1524.8908296943232</v>
      </c>
      <c r="J44" s="139">
        <f t="shared" ref="J44" si="4">G44*100/D44</f>
        <v>929.58715596330273</v>
      </c>
      <c r="K44" s="139">
        <f>H44*100/E44</f>
        <v>280.31319910514543</v>
      </c>
      <c r="S44" s="27"/>
      <c r="T44" s="27"/>
      <c r="U44" s="27"/>
    </row>
    <row r="45" spans="1:21" ht="13.5" x14ac:dyDescent="0.2">
      <c r="A45" s="72">
        <v>39</v>
      </c>
      <c r="B45" s="73" t="s">
        <v>222</v>
      </c>
      <c r="C45" s="138">
        <v>2169</v>
      </c>
      <c r="D45" s="138">
        <v>81622</v>
      </c>
      <c r="E45" s="138">
        <v>5457</v>
      </c>
      <c r="F45" s="138">
        <v>12480</v>
      </c>
      <c r="G45" s="138">
        <v>214517</v>
      </c>
      <c r="H45" s="138">
        <v>21828</v>
      </c>
      <c r="I45" s="139">
        <f>F45*100/C45</f>
        <v>575.38035961272476</v>
      </c>
      <c r="J45" s="139">
        <f>G45*100/D45</f>
        <v>262.8176226997623</v>
      </c>
      <c r="K45" s="139">
        <f>H45*100/E45</f>
        <v>400</v>
      </c>
      <c r="S45" s="27"/>
      <c r="T45" s="27"/>
      <c r="U45" s="27"/>
    </row>
    <row r="46" spans="1:21" ht="13.5" x14ac:dyDescent="0.2">
      <c r="A46" s="72">
        <v>40</v>
      </c>
      <c r="B46" s="73" t="s">
        <v>223</v>
      </c>
      <c r="C46" s="138">
        <v>0</v>
      </c>
      <c r="D46" s="138">
        <v>0</v>
      </c>
      <c r="E46" s="138">
        <v>17676</v>
      </c>
      <c r="F46" s="138">
        <v>0</v>
      </c>
      <c r="G46" s="138">
        <v>0</v>
      </c>
      <c r="H46" s="138">
        <v>3536</v>
      </c>
      <c r="I46" s="139">
        <v>0</v>
      </c>
      <c r="J46" s="139">
        <v>0</v>
      </c>
      <c r="K46" s="139">
        <f t="shared" si="1"/>
        <v>20.004525910839558</v>
      </c>
      <c r="S46" s="27"/>
      <c r="T46" s="27"/>
      <c r="U46" s="27"/>
    </row>
    <row r="47" spans="1:21" ht="13.5" x14ac:dyDescent="0.2">
      <c r="A47" s="72">
        <v>41</v>
      </c>
      <c r="B47" s="73" t="s">
        <v>224</v>
      </c>
      <c r="C47" s="138">
        <v>0</v>
      </c>
      <c r="D47" s="138">
        <v>0</v>
      </c>
      <c r="E47" s="138">
        <v>20914</v>
      </c>
      <c r="F47" s="138">
        <v>0</v>
      </c>
      <c r="G47" s="138">
        <v>0</v>
      </c>
      <c r="H47" s="138">
        <v>33428</v>
      </c>
      <c r="I47" s="139">
        <v>0</v>
      </c>
      <c r="J47" s="139">
        <v>0</v>
      </c>
      <c r="K47" s="139">
        <f t="shared" si="1"/>
        <v>159.83551687864588</v>
      </c>
      <c r="S47" s="27"/>
      <c r="T47" s="27"/>
      <c r="U47" s="27"/>
    </row>
    <row r="48" spans="1:21" ht="13.5" x14ac:dyDescent="0.2">
      <c r="A48" s="72">
        <v>42</v>
      </c>
      <c r="B48" s="73" t="s">
        <v>225</v>
      </c>
      <c r="C48" s="138">
        <v>0</v>
      </c>
      <c r="D48" s="138">
        <v>0</v>
      </c>
      <c r="E48" s="138">
        <v>18322</v>
      </c>
      <c r="F48" s="138">
        <v>0</v>
      </c>
      <c r="G48" s="138">
        <v>0</v>
      </c>
      <c r="H48" s="138">
        <v>20588</v>
      </c>
      <c r="I48" s="139">
        <v>0</v>
      </c>
      <c r="J48" s="139">
        <v>0</v>
      </c>
      <c r="K48" s="139">
        <f t="shared" si="1"/>
        <v>112.36764545355311</v>
      </c>
      <c r="S48" s="27"/>
      <c r="T48" s="27"/>
      <c r="U48" s="27"/>
    </row>
    <row r="49" spans="1:21" ht="13.5" x14ac:dyDescent="0.2">
      <c r="A49" s="72">
        <v>43</v>
      </c>
      <c r="B49" s="73" t="s">
        <v>74</v>
      </c>
      <c r="C49" s="138">
        <v>0</v>
      </c>
      <c r="D49" s="138">
        <v>0</v>
      </c>
      <c r="E49" s="138">
        <v>102534</v>
      </c>
      <c r="F49" s="138">
        <v>0</v>
      </c>
      <c r="G49" s="138">
        <v>0</v>
      </c>
      <c r="H49" s="138">
        <v>203987</v>
      </c>
      <c r="I49" s="139">
        <v>0</v>
      </c>
      <c r="J49" s="139">
        <v>0</v>
      </c>
      <c r="K49" s="139">
        <f t="shared" si="1"/>
        <v>198.94571556751907</v>
      </c>
      <c r="S49" s="27"/>
      <c r="T49" s="27"/>
      <c r="U49" s="27"/>
    </row>
    <row r="50" spans="1:21" ht="13.5" x14ac:dyDescent="0.2">
      <c r="A50" s="72">
        <v>44</v>
      </c>
      <c r="B50" s="73" t="s">
        <v>226</v>
      </c>
      <c r="C50" s="138">
        <v>0</v>
      </c>
      <c r="D50" s="138">
        <v>0</v>
      </c>
      <c r="E50" s="138">
        <v>11918</v>
      </c>
      <c r="F50" s="138">
        <v>0</v>
      </c>
      <c r="G50" s="138">
        <v>3832</v>
      </c>
      <c r="H50" s="138">
        <v>398</v>
      </c>
      <c r="I50" s="139">
        <v>0</v>
      </c>
      <c r="J50" s="139">
        <v>0</v>
      </c>
      <c r="K50" s="139">
        <f t="shared" si="1"/>
        <v>3.3394864910219835</v>
      </c>
      <c r="S50" s="27"/>
      <c r="T50" s="27"/>
      <c r="U50" s="27"/>
    </row>
    <row r="51" spans="1:21" ht="13.5" x14ac:dyDescent="0.2">
      <c r="A51" s="72">
        <v>45</v>
      </c>
      <c r="B51" s="73" t="s">
        <v>227</v>
      </c>
      <c r="C51" s="138">
        <v>0</v>
      </c>
      <c r="D51" s="138">
        <v>0</v>
      </c>
      <c r="E51" s="138">
        <v>54403</v>
      </c>
      <c r="F51" s="138">
        <v>0</v>
      </c>
      <c r="G51" s="138">
        <v>0</v>
      </c>
      <c r="H51" s="138">
        <v>82076</v>
      </c>
      <c r="I51" s="139">
        <v>0</v>
      </c>
      <c r="J51" s="139">
        <v>0</v>
      </c>
      <c r="K51" s="139">
        <f t="shared" si="1"/>
        <v>150.86668014631547</v>
      </c>
      <c r="S51" s="27"/>
      <c r="T51" s="27"/>
      <c r="U51" s="27"/>
    </row>
    <row r="52" spans="1:21" ht="13.5" x14ac:dyDescent="0.2">
      <c r="A52" s="72">
        <v>46</v>
      </c>
      <c r="B52" s="73" t="s">
        <v>228</v>
      </c>
      <c r="C52" s="138">
        <v>0</v>
      </c>
      <c r="D52" s="138">
        <v>0</v>
      </c>
      <c r="E52" s="138">
        <v>13059</v>
      </c>
      <c r="F52" s="138">
        <v>0</v>
      </c>
      <c r="G52" s="138">
        <v>0</v>
      </c>
      <c r="H52" s="138">
        <v>4837</v>
      </c>
      <c r="I52" s="139">
        <v>0</v>
      </c>
      <c r="J52" s="139">
        <v>0</v>
      </c>
      <c r="K52" s="139">
        <f t="shared" si="1"/>
        <v>37.0395895550961</v>
      </c>
      <c r="S52" s="27"/>
      <c r="T52" s="27"/>
      <c r="U52" s="27"/>
    </row>
    <row r="53" spans="1:21" ht="13.5" x14ac:dyDescent="0.2">
      <c r="A53" s="72">
        <v>47</v>
      </c>
      <c r="B53" s="73" t="s">
        <v>78</v>
      </c>
      <c r="C53" s="138">
        <v>0</v>
      </c>
      <c r="D53" s="138">
        <v>0</v>
      </c>
      <c r="E53" s="138">
        <v>32434</v>
      </c>
      <c r="F53" s="138">
        <v>0</v>
      </c>
      <c r="G53" s="138">
        <v>0</v>
      </c>
      <c r="H53" s="138">
        <v>5051</v>
      </c>
      <c r="I53" s="139">
        <v>0</v>
      </c>
      <c r="J53" s="139">
        <v>0</v>
      </c>
      <c r="K53" s="139">
        <f t="shared" si="1"/>
        <v>15.573163963741752</v>
      </c>
      <c r="S53" s="27"/>
      <c r="T53" s="27"/>
      <c r="U53" s="27"/>
    </row>
    <row r="54" spans="1:21" ht="13.5" x14ac:dyDescent="0.2">
      <c r="A54" s="72">
        <v>48</v>
      </c>
      <c r="B54" s="73" t="s">
        <v>229</v>
      </c>
      <c r="C54" s="138">
        <v>0</v>
      </c>
      <c r="D54" s="138">
        <v>0</v>
      </c>
      <c r="E54" s="138">
        <v>1181</v>
      </c>
      <c r="F54" s="138">
        <v>0</v>
      </c>
      <c r="G54" s="138">
        <v>0</v>
      </c>
      <c r="H54" s="138">
        <v>5004</v>
      </c>
      <c r="I54" s="139">
        <v>0</v>
      </c>
      <c r="J54" s="139">
        <v>0</v>
      </c>
      <c r="K54" s="139">
        <f t="shared" si="1"/>
        <v>423.7087214225233</v>
      </c>
      <c r="S54" s="27"/>
      <c r="T54" s="27"/>
      <c r="U54" s="27"/>
    </row>
    <row r="55" spans="1:21" ht="13.5" x14ac:dyDescent="0.2">
      <c r="A55" s="72">
        <v>49</v>
      </c>
      <c r="B55" s="73" t="s">
        <v>77</v>
      </c>
      <c r="C55" s="138">
        <v>0</v>
      </c>
      <c r="D55" s="138">
        <v>0</v>
      </c>
      <c r="E55" s="138">
        <v>115160</v>
      </c>
      <c r="F55" s="138">
        <v>0</v>
      </c>
      <c r="G55" s="138">
        <v>0</v>
      </c>
      <c r="H55" s="138">
        <v>78933</v>
      </c>
      <c r="I55" s="139">
        <v>0</v>
      </c>
      <c r="J55" s="139">
        <v>0</v>
      </c>
      <c r="K55" s="139">
        <f t="shared" si="1"/>
        <v>68.542028482111846</v>
      </c>
      <c r="S55" s="27"/>
      <c r="T55" s="27"/>
      <c r="U55" s="27"/>
    </row>
    <row r="56" spans="1:21" ht="13.5" x14ac:dyDescent="0.2">
      <c r="A56" s="72"/>
      <c r="B56" s="84" t="s">
        <v>408</v>
      </c>
      <c r="C56" s="140">
        <f>SUM(C34:C55)</f>
        <v>41731.300000000003</v>
      </c>
      <c r="D56" s="140">
        <f t="shared" ref="D56:H56" si="5">SUM(D34:D55)</f>
        <v>1672287.98</v>
      </c>
      <c r="E56" s="140">
        <f t="shared" si="5"/>
        <v>858648.15999999992</v>
      </c>
      <c r="F56" s="140">
        <f t="shared" si="5"/>
        <v>45733.35</v>
      </c>
      <c r="G56" s="140">
        <f t="shared" si="5"/>
        <v>2192712.7699999996</v>
      </c>
      <c r="H56" s="140">
        <f t="shared" si="5"/>
        <v>1411052.4500000002</v>
      </c>
      <c r="I56" s="141">
        <f t="shared" si="1"/>
        <v>109.5900439238653</v>
      </c>
      <c r="J56" s="141">
        <f t="shared" si="1"/>
        <v>131.12052446851885</v>
      </c>
      <c r="K56" s="141">
        <f t="shared" si="1"/>
        <v>164.3341843299356</v>
      </c>
      <c r="S56" s="27"/>
      <c r="T56" s="27"/>
      <c r="U56" s="27"/>
    </row>
    <row r="57" spans="1:21" ht="13.5" x14ac:dyDescent="0.2">
      <c r="A57" s="72">
        <v>51</v>
      </c>
      <c r="B57" s="73" t="s">
        <v>47</v>
      </c>
      <c r="C57" s="138">
        <v>243387.56</v>
      </c>
      <c r="D57" s="138">
        <v>162433.89000000001</v>
      </c>
      <c r="E57" s="138">
        <v>260097.96</v>
      </c>
      <c r="F57" s="138">
        <v>209747.06</v>
      </c>
      <c r="G57" s="138">
        <v>45425.919999999998</v>
      </c>
      <c r="H57" s="138">
        <v>144148.22</v>
      </c>
      <c r="I57" s="139">
        <f t="shared" si="1"/>
        <v>86.17821716114004</v>
      </c>
      <c r="J57" s="139">
        <f t="shared" si="1"/>
        <v>27.965789651408333</v>
      </c>
      <c r="K57" s="139">
        <f t="shared" si="1"/>
        <v>55.420742246498207</v>
      </c>
      <c r="S57" s="27"/>
      <c r="T57" s="27"/>
      <c r="U57" s="27"/>
    </row>
    <row r="58" spans="1:21" ht="13.5" x14ac:dyDescent="0.2">
      <c r="A58" s="72">
        <v>52</v>
      </c>
      <c r="B58" s="73" t="s">
        <v>230</v>
      </c>
      <c r="C58" s="138">
        <v>321758</v>
      </c>
      <c r="D58" s="138">
        <v>154126</v>
      </c>
      <c r="E58" s="138">
        <v>133301</v>
      </c>
      <c r="F58" s="138">
        <v>177908</v>
      </c>
      <c r="G58" s="138">
        <v>60572</v>
      </c>
      <c r="H58" s="138">
        <v>22974</v>
      </c>
      <c r="I58" s="139">
        <f t="shared" si="1"/>
        <v>55.292486900092619</v>
      </c>
      <c r="J58" s="139">
        <f t="shared" si="1"/>
        <v>39.30031273114205</v>
      </c>
      <c r="K58" s="139">
        <f t="shared" si="1"/>
        <v>17.234679409756865</v>
      </c>
      <c r="S58" s="27"/>
      <c r="T58" s="27"/>
      <c r="U58" s="27"/>
    </row>
    <row r="59" spans="1:21" ht="13.5" x14ac:dyDescent="0.2">
      <c r="A59" s="72">
        <v>53</v>
      </c>
      <c r="B59" s="73" t="s">
        <v>53</v>
      </c>
      <c r="C59" s="138">
        <v>326068</v>
      </c>
      <c r="D59" s="138">
        <v>71958</v>
      </c>
      <c r="E59" s="138">
        <v>133146</v>
      </c>
      <c r="F59" s="138">
        <v>334338</v>
      </c>
      <c r="G59" s="138">
        <v>45801</v>
      </c>
      <c r="H59" s="138">
        <v>65719</v>
      </c>
      <c r="I59" s="139">
        <f t="shared" si="1"/>
        <v>102.53628077578909</v>
      </c>
      <c r="J59" s="139">
        <f t="shared" si="1"/>
        <v>63.649628950220965</v>
      </c>
      <c r="K59" s="139">
        <f t="shared" si="1"/>
        <v>49.358598831358059</v>
      </c>
      <c r="S59" s="27"/>
      <c r="T59" s="27"/>
      <c r="U59" s="27"/>
    </row>
    <row r="60" spans="1:21" ht="13.5" x14ac:dyDescent="0.2">
      <c r="A60" s="72"/>
      <c r="B60" s="84" t="s">
        <v>415</v>
      </c>
      <c r="C60" s="140">
        <f>SUM(C57:C59)</f>
        <v>891213.56</v>
      </c>
      <c r="D60" s="140">
        <f t="shared" ref="D60:H60" si="6">SUM(D57:D59)</f>
        <v>388517.89</v>
      </c>
      <c r="E60" s="140">
        <f t="shared" si="6"/>
        <v>526544.96</v>
      </c>
      <c r="F60" s="140">
        <f t="shared" si="6"/>
        <v>721993.06</v>
      </c>
      <c r="G60" s="140">
        <f t="shared" si="6"/>
        <v>151798.91999999998</v>
      </c>
      <c r="H60" s="140">
        <f t="shared" si="6"/>
        <v>232841.22</v>
      </c>
      <c r="I60" s="141">
        <f t="shared" si="1"/>
        <v>81.012351293218643</v>
      </c>
      <c r="J60" s="141">
        <f t="shared" si="1"/>
        <v>39.071281891292053</v>
      </c>
      <c r="K60" s="141">
        <f t="shared" si="1"/>
        <v>44.220577099437058</v>
      </c>
      <c r="S60" s="27"/>
      <c r="T60" s="27"/>
      <c r="U60" s="27"/>
    </row>
    <row r="61" spans="1:21" ht="13.5" x14ac:dyDescent="0.2">
      <c r="A61" s="72">
        <v>53</v>
      </c>
      <c r="B61" s="73" t="s">
        <v>409</v>
      </c>
      <c r="C61" s="138">
        <v>636706.37</v>
      </c>
      <c r="D61" s="138">
        <v>184366.15</v>
      </c>
      <c r="E61" s="138">
        <v>1007582.47</v>
      </c>
      <c r="F61" s="138">
        <v>1080351.76</v>
      </c>
      <c r="G61" s="138">
        <v>120614.24</v>
      </c>
      <c r="H61" s="138">
        <v>659169.99</v>
      </c>
      <c r="I61" s="139">
        <f t="shared" si="1"/>
        <v>169.67817677087163</v>
      </c>
      <c r="J61" s="139">
        <f t="shared" si="1"/>
        <v>65.421033090944306</v>
      </c>
      <c r="K61" s="139">
        <f t="shared" si="1"/>
        <v>65.42094663477026</v>
      </c>
      <c r="S61" s="27"/>
      <c r="T61" s="27"/>
      <c r="U61" s="27"/>
    </row>
    <row r="62" spans="1:21" ht="13.5" x14ac:dyDescent="0.2">
      <c r="A62" s="72"/>
      <c r="B62" s="84" t="s">
        <v>410</v>
      </c>
      <c r="C62" s="140">
        <f>C61</f>
        <v>636706.37</v>
      </c>
      <c r="D62" s="140">
        <f t="shared" ref="D62:H62" si="7">D61</f>
        <v>184366.15</v>
      </c>
      <c r="E62" s="140">
        <f t="shared" si="7"/>
        <v>1007582.47</v>
      </c>
      <c r="F62" s="140">
        <f t="shared" si="7"/>
        <v>1080351.76</v>
      </c>
      <c r="G62" s="140">
        <f t="shared" si="7"/>
        <v>120614.24</v>
      </c>
      <c r="H62" s="140">
        <f t="shared" si="7"/>
        <v>659169.99</v>
      </c>
      <c r="I62" s="141">
        <f t="shared" si="1"/>
        <v>169.67817677087163</v>
      </c>
      <c r="J62" s="141">
        <f t="shared" si="1"/>
        <v>65.421033090944306</v>
      </c>
      <c r="K62" s="141">
        <f t="shared" si="1"/>
        <v>65.42094663477026</v>
      </c>
      <c r="S62" s="27"/>
      <c r="T62" s="27"/>
      <c r="U62" s="27"/>
    </row>
    <row r="63" spans="1:21" ht="13.5" x14ac:dyDescent="0.2">
      <c r="A63" s="72"/>
      <c r="B63" s="84" t="s">
        <v>0</v>
      </c>
      <c r="C63" s="140">
        <f>C62+C60+C56+C33</f>
        <v>4318969.1800000006</v>
      </c>
      <c r="D63" s="140">
        <f t="shared" ref="D63:H63" si="8">D62+D60+D56+D33</f>
        <v>17394391.109999999</v>
      </c>
      <c r="E63" s="140">
        <f t="shared" si="8"/>
        <v>8687917.1199999992</v>
      </c>
      <c r="F63" s="140">
        <f t="shared" si="8"/>
        <v>4164456.1900000004</v>
      </c>
      <c r="G63" s="140">
        <f t="shared" si="8"/>
        <v>11750583.41</v>
      </c>
      <c r="H63" s="140">
        <f t="shared" si="8"/>
        <v>6089202.6500000004</v>
      </c>
      <c r="I63" s="141">
        <f t="shared" si="1"/>
        <v>96.422456758536072</v>
      </c>
      <c r="J63" s="141">
        <f t="shared" si="1"/>
        <v>67.553864551456556</v>
      </c>
      <c r="K63" s="141">
        <f t="shared" si="1"/>
        <v>70.088176094387052</v>
      </c>
      <c r="S63" s="27"/>
      <c r="T63" s="27"/>
      <c r="U63" s="27"/>
    </row>
    <row r="65" spans="2:11" x14ac:dyDescent="0.2">
      <c r="C65" s="151">
        <v>4246462.863568862</v>
      </c>
      <c r="D65" s="151">
        <v>7210103.2843377255</v>
      </c>
      <c r="E65" s="151">
        <v>17523164.989191387</v>
      </c>
      <c r="F65" s="151">
        <v>3351333.2991390466</v>
      </c>
      <c r="G65" s="151">
        <v>5447037.0761110988</v>
      </c>
      <c r="H65" s="151">
        <v>12095055.203218374</v>
      </c>
    </row>
    <row r="66" spans="2:11" x14ac:dyDescent="0.2">
      <c r="I66" s="151"/>
      <c r="J66" s="151"/>
      <c r="K66" s="151"/>
    </row>
    <row r="67" spans="2:11" x14ac:dyDescent="0.2">
      <c r="C67" s="151">
        <f>C63-C65</f>
        <v>72506.316431138664</v>
      </c>
      <c r="D67" s="151">
        <f t="shared" ref="D67:H67" si="9">D63-D65</f>
        <v>10184287.825662274</v>
      </c>
      <c r="E67" s="151">
        <f t="shared" si="9"/>
        <v>-8835247.8691913877</v>
      </c>
      <c r="F67" s="151">
        <f t="shared" si="9"/>
        <v>813122.89086095383</v>
      </c>
      <c r="G67" s="151">
        <f t="shared" si="9"/>
        <v>6303546.3338889014</v>
      </c>
      <c r="H67" s="151">
        <f t="shared" si="9"/>
        <v>-6005852.553218374</v>
      </c>
    </row>
    <row r="69" spans="2:11" x14ac:dyDescent="0.2">
      <c r="C69" s="143">
        <f>C67*100/C65</f>
        <v>1.7074520315056296</v>
      </c>
      <c r="D69" s="143">
        <f t="shared" ref="D69:H69" si="10">D67*100/D65</f>
        <v>141.25023490003636</v>
      </c>
      <c r="E69" s="143">
        <f t="shared" si="10"/>
        <v>-50.420388523655014</v>
      </c>
      <c r="F69" s="143">
        <f t="shared" si="10"/>
        <v>24.262668564473849</v>
      </c>
      <c r="G69" s="143">
        <f t="shared" si="10"/>
        <v>115.72431481206854</v>
      </c>
      <c r="H69" s="143">
        <f t="shared" si="10"/>
        <v>-49.655437303173912</v>
      </c>
    </row>
    <row r="71" spans="2:11" x14ac:dyDescent="0.2">
      <c r="B71" s="155" t="s">
        <v>500</v>
      </c>
      <c r="C71" s="151">
        <f>C63+F63</f>
        <v>8483425.370000001</v>
      </c>
      <c r="D71" s="151">
        <f>D63+G63</f>
        <v>29144974.52</v>
      </c>
      <c r="E71" s="151">
        <f>E63+H63</f>
        <v>14777119.77</v>
      </c>
    </row>
    <row r="72" spans="2:11" x14ac:dyDescent="0.2">
      <c r="B72" s="155" t="s">
        <v>499</v>
      </c>
      <c r="C72" s="151">
        <f>C65+F65</f>
        <v>7597796.1627079081</v>
      </c>
      <c r="D72" s="151">
        <f>D65+G65</f>
        <v>12657140.360448824</v>
      </c>
      <c r="E72" s="151">
        <f>E65+H65</f>
        <v>29618220.192409761</v>
      </c>
    </row>
    <row r="74" spans="2:11" x14ac:dyDescent="0.2">
      <c r="C74" s="151">
        <f>C71-C72</f>
        <v>885629.20729209296</v>
      </c>
      <c r="D74" s="151">
        <f t="shared" ref="D74:E74" si="11">D71-D72</f>
        <v>16487834.159551175</v>
      </c>
      <c r="E74" s="151">
        <f t="shared" si="11"/>
        <v>-14841100.422409762</v>
      </c>
    </row>
    <row r="77" spans="2:11" x14ac:dyDescent="0.2">
      <c r="C77" s="151">
        <f>C74*100/C72</f>
        <v>11.656395990708555</v>
      </c>
      <c r="D77" s="151">
        <f t="shared" ref="D77:E77" si="12">D74*100/D72</f>
        <v>130.26508113216906</v>
      </c>
      <c r="E77" s="151">
        <f t="shared" si="12"/>
        <v>-50.108008941783339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B4:K63">
    <filterColumn colId="1" showButton="0"/>
    <filterColumn colId="2" showButton="0"/>
    <filterColumn colId="4" showButton="0"/>
    <filterColumn colId="5" showButton="0"/>
    <filterColumn colId="7" showButton="0"/>
    <filterColumn colId="8" showButton="0"/>
  </autoFilter>
  <mergeCells count="10">
    <mergeCell ref="M4:O4"/>
    <mergeCell ref="P4:R4"/>
    <mergeCell ref="A2:K2"/>
    <mergeCell ref="I4:K4"/>
    <mergeCell ref="A1:K1"/>
    <mergeCell ref="A4:A5"/>
    <mergeCell ref="B4:B5"/>
    <mergeCell ref="C4:E4"/>
    <mergeCell ref="F4:H4"/>
    <mergeCell ref="J3:K3"/>
  </mergeCells>
  <phoneticPr fontId="9" type="noConversion"/>
  <pageMargins left="1" right="0.25" top="0.5" bottom="0.5" header="0.3" footer="0.3"/>
  <pageSetup scale="79" orientation="portrait" r:id="rId1"/>
  <rowBreaks count="1" manualBreakCount="1">
    <brk id="63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M66"/>
  <sheetViews>
    <sheetView zoomScaleNormal="10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F66" sqref="F66"/>
    </sheetView>
  </sheetViews>
  <sheetFormatPr defaultRowHeight="18.75" x14ac:dyDescent="0.2"/>
  <cols>
    <col min="1" max="1" width="5.7109375" style="42" bestFit="1" customWidth="1"/>
    <col min="2" max="2" width="27.42578125" style="39" customWidth="1"/>
    <col min="3" max="3" width="17.85546875" style="41" customWidth="1"/>
    <col min="4" max="4" width="11.85546875" style="41" customWidth="1"/>
    <col min="5" max="5" width="15.7109375" style="41" customWidth="1"/>
    <col min="6" max="6" width="14.85546875" style="41" customWidth="1"/>
    <col min="7" max="7" width="10" style="39" bestFit="1" customWidth="1"/>
    <col min="8" max="8" width="17.5703125" style="33" customWidth="1"/>
    <col min="9" max="9" width="9.140625" style="33"/>
    <col min="10" max="10" width="9.28515625" style="33" bestFit="1" customWidth="1"/>
    <col min="11" max="11" width="11.85546875" style="33" bestFit="1" customWidth="1"/>
    <col min="12" max="12" width="10.42578125" style="33" bestFit="1" customWidth="1"/>
    <col min="13" max="13" width="13.140625" style="33" bestFit="1" customWidth="1"/>
    <col min="14" max="16384" width="9.140625" style="39"/>
  </cols>
  <sheetData>
    <row r="1" spans="1:6" x14ac:dyDescent="0.2">
      <c r="A1" s="489" t="s">
        <v>479</v>
      </c>
      <c r="B1" s="489"/>
      <c r="C1" s="489"/>
      <c r="D1" s="489"/>
      <c r="E1" s="489"/>
      <c r="F1" s="489"/>
    </row>
    <row r="2" spans="1:6" x14ac:dyDescent="0.2">
      <c r="A2" s="493"/>
      <c r="B2" s="493"/>
      <c r="C2" s="493"/>
      <c r="D2" s="493"/>
      <c r="E2" s="493"/>
      <c r="F2" s="493"/>
    </row>
    <row r="3" spans="1:6" ht="14.25" customHeight="1" x14ac:dyDescent="0.2">
      <c r="A3" s="40"/>
      <c r="B3" s="210" t="s">
        <v>12</v>
      </c>
      <c r="F3" s="211" t="s">
        <v>176</v>
      </c>
    </row>
    <row r="4" spans="1:6" ht="30" customHeight="1" x14ac:dyDescent="0.2">
      <c r="A4" s="494" t="s">
        <v>232</v>
      </c>
      <c r="B4" s="494" t="s">
        <v>3</v>
      </c>
      <c r="C4" s="495" t="s">
        <v>497</v>
      </c>
      <c r="D4" s="495" t="s">
        <v>25</v>
      </c>
      <c r="E4" s="496" t="s">
        <v>45</v>
      </c>
      <c r="F4" s="496" t="s">
        <v>46</v>
      </c>
    </row>
    <row r="5" spans="1:6" ht="30" customHeight="1" x14ac:dyDescent="0.2">
      <c r="A5" s="494"/>
      <c r="B5" s="494"/>
      <c r="C5" s="495"/>
      <c r="D5" s="495"/>
      <c r="E5" s="496"/>
      <c r="F5" s="496"/>
    </row>
    <row r="6" spans="1:6" ht="15" customHeight="1" x14ac:dyDescent="0.2">
      <c r="A6" s="207">
        <v>1</v>
      </c>
      <c r="B6" s="208" t="s">
        <v>56</v>
      </c>
      <c r="C6" s="209">
        <v>2674</v>
      </c>
      <c r="D6" s="209">
        <v>3378.48</v>
      </c>
      <c r="E6" s="209">
        <v>60428</v>
      </c>
      <c r="F6" s="209">
        <v>97837.11</v>
      </c>
    </row>
    <row r="7" spans="1:6" ht="15" customHeight="1" x14ac:dyDescent="0.2">
      <c r="A7" s="190">
        <v>2</v>
      </c>
      <c r="B7" s="194" t="s">
        <v>57</v>
      </c>
      <c r="C7" s="203">
        <v>317</v>
      </c>
      <c r="D7" s="203">
        <v>615</v>
      </c>
      <c r="E7" s="203">
        <v>1234</v>
      </c>
      <c r="F7" s="203">
        <v>2288.2800000000002</v>
      </c>
    </row>
    <row r="8" spans="1:6" ht="15" customHeight="1" x14ac:dyDescent="0.2">
      <c r="A8" s="190">
        <v>3</v>
      </c>
      <c r="B8" s="194" t="s">
        <v>58</v>
      </c>
      <c r="C8" s="203">
        <v>1638</v>
      </c>
      <c r="D8" s="203">
        <v>2433</v>
      </c>
      <c r="E8" s="203">
        <v>33084</v>
      </c>
      <c r="F8" s="203">
        <v>57033</v>
      </c>
    </row>
    <row r="9" spans="1:6" ht="15" customHeight="1" x14ac:dyDescent="0.2">
      <c r="A9" s="207">
        <v>4</v>
      </c>
      <c r="B9" s="194" t="s">
        <v>59</v>
      </c>
      <c r="C9" s="203">
        <v>7906</v>
      </c>
      <c r="D9" s="203">
        <v>40860</v>
      </c>
      <c r="E9" s="203">
        <v>339817</v>
      </c>
      <c r="F9" s="203">
        <v>674127</v>
      </c>
    </row>
    <row r="10" spans="1:6" ht="15" customHeight="1" x14ac:dyDescent="0.2">
      <c r="A10" s="190">
        <v>5</v>
      </c>
      <c r="B10" s="194" t="s">
        <v>60</v>
      </c>
      <c r="C10" s="203">
        <v>18236</v>
      </c>
      <c r="D10" s="203">
        <v>20892</v>
      </c>
      <c r="E10" s="203">
        <v>46723</v>
      </c>
      <c r="F10" s="203">
        <v>69293</v>
      </c>
    </row>
    <row r="11" spans="1:6" ht="15" customHeight="1" x14ac:dyDescent="0.2">
      <c r="A11" s="190">
        <v>6</v>
      </c>
      <c r="B11" s="204" t="s">
        <v>244</v>
      </c>
      <c r="C11" s="203">
        <v>0</v>
      </c>
      <c r="D11" s="203">
        <v>0</v>
      </c>
      <c r="E11" s="203">
        <v>1</v>
      </c>
      <c r="F11" s="203">
        <v>1</v>
      </c>
    </row>
    <row r="12" spans="1:6" ht="15" customHeight="1" x14ac:dyDescent="0.2">
      <c r="A12" s="207">
        <v>7</v>
      </c>
      <c r="B12" s="194" t="s">
        <v>61</v>
      </c>
      <c r="C12" s="203">
        <v>1952</v>
      </c>
      <c r="D12" s="203">
        <v>17970</v>
      </c>
      <c r="E12" s="203">
        <v>22240</v>
      </c>
      <c r="F12" s="203">
        <v>44641</v>
      </c>
    </row>
    <row r="13" spans="1:6" ht="15" customHeight="1" x14ac:dyDescent="0.2">
      <c r="A13" s="190">
        <v>8</v>
      </c>
      <c r="B13" s="194" t="s">
        <v>62</v>
      </c>
      <c r="C13" s="203">
        <v>16221</v>
      </c>
      <c r="D13" s="203">
        <v>26605</v>
      </c>
      <c r="E13" s="203">
        <v>234979</v>
      </c>
      <c r="F13" s="203">
        <v>346329</v>
      </c>
    </row>
    <row r="14" spans="1:6" ht="15" customHeight="1" x14ac:dyDescent="0.2">
      <c r="A14" s="190">
        <v>9</v>
      </c>
      <c r="B14" s="194" t="s">
        <v>49</v>
      </c>
      <c r="C14" s="203">
        <v>1840</v>
      </c>
      <c r="D14" s="203">
        <v>5518</v>
      </c>
      <c r="E14" s="203">
        <v>1840</v>
      </c>
      <c r="F14" s="203">
        <v>5518</v>
      </c>
    </row>
    <row r="15" spans="1:6" ht="15" customHeight="1" x14ac:dyDescent="0.2">
      <c r="A15" s="207">
        <v>10</v>
      </c>
      <c r="B15" s="194" t="s">
        <v>50</v>
      </c>
      <c r="C15" s="203">
        <v>2316</v>
      </c>
      <c r="D15" s="203">
        <v>5861</v>
      </c>
      <c r="E15" s="203">
        <v>8906</v>
      </c>
      <c r="F15" s="203">
        <v>16920</v>
      </c>
    </row>
    <row r="16" spans="1:6" ht="15" customHeight="1" x14ac:dyDescent="0.2">
      <c r="A16" s="190">
        <v>11</v>
      </c>
      <c r="B16" s="194" t="s">
        <v>82</v>
      </c>
      <c r="C16" s="203">
        <v>4678</v>
      </c>
      <c r="D16" s="203">
        <v>12140</v>
      </c>
      <c r="E16" s="203">
        <v>15476</v>
      </c>
      <c r="F16" s="203">
        <v>32489</v>
      </c>
    </row>
    <row r="17" spans="1:6" ht="15" customHeight="1" x14ac:dyDescent="0.2">
      <c r="A17" s="190">
        <v>12</v>
      </c>
      <c r="B17" s="194" t="s">
        <v>63</v>
      </c>
      <c r="C17" s="203">
        <v>1785</v>
      </c>
      <c r="D17" s="203">
        <v>283</v>
      </c>
      <c r="E17" s="203">
        <v>1798</v>
      </c>
      <c r="F17" s="203">
        <v>2803</v>
      </c>
    </row>
    <row r="18" spans="1:6" ht="15" customHeight="1" x14ac:dyDescent="0.2">
      <c r="A18" s="207">
        <v>13</v>
      </c>
      <c r="B18" s="194" t="s">
        <v>64</v>
      </c>
      <c r="C18" s="203">
        <v>179</v>
      </c>
      <c r="D18" s="203">
        <v>460</v>
      </c>
      <c r="E18" s="203">
        <v>1938</v>
      </c>
      <c r="F18" s="203">
        <v>3230</v>
      </c>
    </row>
    <row r="19" spans="1:6" ht="15" customHeight="1" x14ac:dyDescent="0.2">
      <c r="A19" s="190">
        <v>14</v>
      </c>
      <c r="B19" s="100" t="s">
        <v>208</v>
      </c>
      <c r="C19" s="203">
        <v>606</v>
      </c>
      <c r="D19" s="203">
        <v>1803.91</v>
      </c>
      <c r="E19" s="203">
        <v>7936</v>
      </c>
      <c r="F19" s="203">
        <v>19694.46</v>
      </c>
    </row>
    <row r="20" spans="1:6" ht="15" customHeight="1" x14ac:dyDescent="0.2">
      <c r="A20" s="190">
        <v>15</v>
      </c>
      <c r="B20" s="194" t="s">
        <v>209</v>
      </c>
      <c r="C20" s="203">
        <v>597</v>
      </c>
      <c r="D20" s="203">
        <v>1145</v>
      </c>
      <c r="E20" s="203">
        <v>4322</v>
      </c>
      <c r="F20" s="203">
        <v>8953</v>
      </c>
    </row>
    <row r="21" spans="1:6" ht="15" customHeight="1" x14ac:dyDescent="0.2">
      <c r="A21" s="207">
        <v>16</v>
      </c>
      <c r="B21" s="194" t="s">
        <v>65</v>
      </c>
      <c r="C21" s="203">
        <v>12058</v>
      </c>
      <c r="D21" s="203">
        <v>29808</v>
      </c>
      <c r="E21" s="203">
        <v>132923</v>
      </c>
      <c r="F21" s="203">
        <v>180521</v>
      </c>
    </row>
    <row r="22" spans="1:6" ht="15" customHeight="1" x14ac:dyDescent="0.2">
      <c r="A22" s="190">
        <v>17</v>
      </c>
      <c r="B22" s="112" t="s">
        <v>70</v>
      </c>
      <c r="C22" s="203">
        <v>0</v>
      </c>
      <c r="D22" s="203">
        <v>0</v>
      </c>
      <c r="E22" s="203">
        <v>0</v>
      </c>
      <c r="F22" s="203">
        <v>0</v>
      </c>
    </row>
    <row r="23" spans="1:6" ht="15" customHeight="1" x14ac:dyDescent="0.2">
      <c r="A23" s="190">
        <v>18</v>
      </c>
      <c r="B23" s="66" t="s">
        <v>210</v>
      </c>
      <c r="C23" s="203">
        <v>0</v>
      </c>
      <c r="D23" s="203">
        <v>0</v>
      </c>
      <c r="E23" s="203">
        <v>0</v>
      </c>
      <c r="F23" s="203">
        <v>0</v>
      </c>
    </row>
    <row r="24" spans="1:6" ht="15" customHeight="1" x14ac:dyDescent="0.2">
      <c r="A24" s="207">
        <v>19</v>
      </c>
      <c r="B24" s="113" t="s">
        <v>211</v>
      </c>
      <c r="C24" s="203">
        <v>0</v>
      </c>
      <c r="D24" s="203">
        <v>0</v>
      </c>
      <c r="E24" s="203">
        <v>0</v>
      </c>
      <c r="F24" s="203">
        <v>0</v>
      </c>
    </row>
    <row r="25" spans="1:6" ht="15" customHeight="1" x14ac:dyDescent="0.2">
      <c r="A25" s="190">
        <v>20</v>
      </c>
      <c r="B25" s="194" t="s">
        <v>212</v>
      </c>
      <c r="C25" s="203">
        <v>0</v>
      </c>
      <c r="D25" s="203">
        <v>0</v>
      </c>
      <c r="E25" s="203">
        <v>0</v>
      </c>
      <c r="F25" s="203">
        <v>0</v>
      </c>
    </row>
    <row r="26" spans="1:6" ht="15" customHeight="1" x14ac:dyDescent="0.2">
      <c r="A26" s="190">
        <v>21</v>
      </c>
      <c r="B26" s="194" t="s">
        <v>213</v>
      </c>
      <c r="C26" s="203">
        <v>18</v>
      </c>
      <c r="D26" s="203">
        <v>7.72</v>
      </c>
      <c r="E26" s="203">
        <v>212</v>
      </c>
      <c r="F26" s="203">
        <v>156.19</v>
      </c>
    </row>
    <row r="27" spans="1:6" ht="15" customHeight="1" x14ac:dyDescent="0.2">
      <c r="A27" s="207">
        <v>22</v>
      </c>
      <c r="B27" s="194" t="s">
        <v>71</v>
      </c>
      <c r="C27" s="203">
        <v>235417</v>
      </c>
      <c r="D27" s="203">
        <v>495764</v>
      </c>
      <c r="E27" s="203">
        <v>560729</v>
      </c>
      <c r="F27" s="203">
        <v>1027642</v>
      </c>
    </row>
    <row r="28" spans="1:6" ht="15" customHeight="1" x14ac:dyDescent="0.2">
      <c r="A28" s="190">
        <v>23</v>
      </c>
      <c r="B28" s="194" t="s">
        <v>66</v>
      </c>
      <c r="C28" s="203">
        <v>2040</v>
      </c>
      <c r="D28" s="203">
        <v>2924</v>
      </c>
      <c r="E28" s="203">
        <v>6595</v>
      </c>
      <c r="F28" s="203">
        <v>9370</v>
      </c>
    </row>
    <row r="29" spans="1:6" ht="15" customHeight="1" x14ac:dyDescent="0.2">
      <c r="A29" s="190">
        <v>24</v>
      </c>
      <c r="B29" s="194" t="s">
        <v>214</v>
      </c>
      <c r="C29" s="203">
        <v>1994</v>
      </c>
      <c r="D29" s="203">
        <v>3444</v>
      </c>
      <c r="E29" s="203">
        <v>94222</v>
      </c>
      <c r="F29" s="203">
        <v>103170</v>
      </c>
    </row>
    <row r="30" spans="1:6" ht="15" customHeight="1" x14ac:dyDescent="0.2">
      <c r="A30" s="207">
        <v>25</v>
      </c>
      <c r="B30" s="194" t="s">
        <v>67</v>
      </c>
      <c r="C30" s="203">
        <v>5314</v>
      </c>
      <c r="D30" s="203">
        <v>9842.23</v>
      </c>
      <c r="E30" s="203">
        <v>104184</v>
      </c>
      <c r="F30" s="203">
        <v>202535.3</v>
      </c>
    </row>
    <row r="31" spans="1:6" ht="15" customHeight="1" x14ac:dyDescent="0.2">
      <c r="A31" s="190">
        <v>26</v>
      </c>
      <c r="B31" s="204" t="s">
        <v>68</v>
      </c>
      <c r="C31" s="203">
        <v>0</v>
      </c>
      <c r="D31" s="203">
        <v>0</v>
      </c>
      <c r="E31" s="203">
        <v>20</v>
      </c>
      <c r="F31" s="203">
        <v>60</v>
      </c>
    </row>
    <row r="32" spans="1:6" ht="15" customHeight="1" x14ac:dyDescent="0.2">
      <c r="A32" s="190">
        <v>27</v>
      </c>
      <c r="B32" s="194" t="s">
        <v>51</v>
      </c>
      <c r="C32" s="203">
        <v>438</v>
      </c>
      <c r="D32" s="203">
        <v>1563</v>
      </c>
      <c r="E32" s="203">
        <v>4853</v>
      </c>
      <c r="F32" s="203">
        <v>12316</v>
      </c>
    </row>
    <row r="33" spans="1:13" s="290" customFormat="1" ht="15" customHeight="1" x14ac:dyDescent="0.2">
      <c r="A33" s="192"/>
      <c r="B33" s="195" t="s">
        <v>407</v>
      </c>
      <c r="C33" s="206">
        <f>SUM(C6:C32)</f>
        <v>318224</v>
      </c>
      <c r="D33" s="206">
        <f t="shared" ref="D33:F33" si="0">SUM(D6:D32)</f>
        <v>683317.34</v>
      </c>
      <c r="E33" s="206">
        <f t="shared" si="0"/>
        <v>1684460</v>
      </c>
      <c r="F33" s="206">
        <f t="shared" si="0"/>
        <v>2916927.34</v>
      </c>
      <c r="H33" s="93"/>
      <c r="I33" s="93"/>
      <c r="J33" s="93"/>
      <c r="K33" s="93"/>
      <c r="L33" s="93"/>
      <c r="M33" s="93"/>
    </row>
    <row r="34" spans="1:13" ht="15" customHeight="1" x14ac:dyDescent="0.2">
      <c r="A34" s="190">
        <v>28</v>
      </c>
      <c r="B34" s="194" t="s">
        <v>48</v>
      </c>
      <c r="C34" s="203">
        <v>1101</v>
      </c>
      <c r="D34" s="203">
        <v>4823.22</v>
      </c>
      <c r="E34" s="203">
        <v>4147</v>
      </c>
      <c r="F34" s="203">
        <v>19389.900000000001</v>
      </c>
    </row>
    <row r="35" spans="1:13" ht="15" customHeight="1" x14ac:dyDescent="0.2">
      <c r="A35" s="190">
        <v>29</v>
      </c>
      <c r="B35" s="194" t="s">
        <v>216</v>
      </c>
      <c r="C35" s="203">
        <v>0</v>
      </c>
      <c r="D35" s="203">
        <v>0</v>
      </c>
      <c r="E35" s="203">
        <v>0</v>
      </c>
      <c r="F35" s="203">
        <v>0</v>
      </c>
    </row>
    <row r="36" spans="1:13" ht="15" customHeight="1" x14ac:dyDescent="0.2">
      <c r="A36" s="190">
        <v>30</v>
      </c>
      <c r="B36" s="194" t="s">
        <v>217</v>
      </c>
      <c r="C36" s="203">
        <v>0</v>
      </c>
      <c r="D36" s="203">
        <v>0</v>
      </c>
      <c r="E36" s="203">
        <v>0</v>
      </c>
      <c r="F36" s="203">
        <v>0</v>
      </c>
    </row>
    <row r="37" spans="1:13" ht="15" customHeight="1" x14ac:dyDescent="0.2">
      <c r="A37" s="190">
        <v>31</v>
      </c>
      <c r="B37" s="194" t="s">
        <v>79</v>
      </c>
      <c r="C37" s="203">
        <v>0</v>
      </c>
      <c r="D37" s="203">
        <v>0</v>
      </c>
      <c r="E37" s="203">
        <v>0</v>
      </c>
      <c r="F37" s="203">
        <v>0</v>
      </c>
    </row>
    <row r="38" spans="1:13" ht="15" customHeight="1" x14ac:dyDescent="0.2">
      <c r="A38" s="190">
        <v>32</v>
      </c>
      <c r="B38" s="194" t="s">
        <v>52</v>
      </c>
      <c r="C38" s="203">
        <v>0</v>
      </c>
      <c r="D38" s="203">
        <v>0</v>
      </c>
      <c r="E38" s="203">
        <v>0</v>
      </c>
      <c r="F38" s="203">
        <v>0</v>
      </c>
    </row>
    <row r="39" spans="1:13" ht="15" customHeight="1" x14ac:dyDescent="0.2">
      <c r="A39" s="190">
        <v>33</v>
      </c>
      <c r="B39" s="194" t="s">
        <v>218</v>
      </c>
      <c r="C39" s="203">
        <v>0</v>
      </c>
      <c r="D39" s="203">
        <v>0</v>
      </c>
      <c r="E39" s="203">
        <v>0</v>
      </c>
      <c r="F39" s="203">
        <v>0</v>
      </c>
    </row>
    <row r="40" spans="1:13" ht="15" customHeight="1" x14ac:dyDescent="0.2">
      <c r="A40" s="190">
        <v>34</v>
      </c>
      <c r="B40" s="194" t="s">
        <v>219</v>
      </c>
      <c r="C40" s="203">
        <v>0</v>
      </c>
      <c r="D40" s="203">
        <v>0</v>
      </c>
      <c r="E40" s="203">
        <v>0</v>
      </c>
      <c r="F40" s="203">
        <v>0</v>
      </c>
    </row>
    <row r="41" spans="1:13" ht="15" customHeight="1" x14ac:dyDescent="0.2">
      <c r="A41" s="190">
        <v>35</v>
      </c>
      <c r="B41" s="194" t="s">
        <v>220</v>
      </c>
      <c r="C41" s="203">
        <v>37</v>
      </c>
      <c r="D41" s="203">
        <v>129.46</v>
      </c>
      <c r="E41" s="203">
        <v>119</v>
      </c>
      <c r="F41" s="203">
        <v>942</v>
      </c>
    </row>
    <row r="42" spans="1:13" ht="15" customHeight="1" x14ac:dyDescent="0.2">
      <c r="A42" s="190">
        <v>36</v>
      </c>
      <c r="B42" s="194" t="s">
        <v>72</v>
      </c>
      <c r="C42" s="203">
        <v>21944</v>
      </c>
      <c r="D42" s="203">
        <v>71135</v>
      </c>
      <c r="E42" s="203">
        <v>120303</v>
      </c>
      <c r="F42" s="203">
        <v>264291</v>
      </c>
    </row>
    <row r="43" spans="1:13" ht="15" customHeight="1" x14ac:dyDescent="0.2">
      <c r="A43" s="190">
        <v>37</v>
      </c>
      <c r="B43" s="194" t="s">
        <v>73</v>
      </c>
      <c r="C43" s="203">
        <v>41736</v>
      </c>
      <c r="D43" s="203">
        <v>82554</v>
      </c>
      <c r="E43" s="203">
        <v>122913</v>
      </c>
      <c r="F43" s="203">
        <v>229901</v>
      </c>
    </row>
    <row r="44" spans="1:13" ht="15" customHeight="1" x14ac:dyDescent="0.2">
      <c r="A44" s="190">
        <v>38</v>
      </c>
      <c r="B44" s="194" t="s">
        <v>221</v>
      </c>
      <c r="C44" s="203">
        <v>0</v>
      </c>
      <c r="D44" s="203">
        <v>0</v>
      </c>
      <c r="E44" s="203">
        <v>0</v>
      </c>
      <c r="F44" s="203">
        <v>0</v>
      </c>
    </row>
    <row r="45" spans="1:13" ht="15" customHeight="1" x14ac:dyDescent="0.2">
      <c r="A45" s="190">
        <v>39</v>
      </c>
      <c r="B45" s="194" t="s">
        <v>222</v>
      </c>
      <c r="C45" s="203">
        <v>298</v>
      </c>
      <c r="D45" s="203">
        <v>2724</v>
      </c>
      <c r="E45" s="203">
        <v>912</v>
      </c>
      <c r="F45" s="203">
        <v>7533.59</v>
      </c>
    </row>
    <row r="46" spans="1:13" ht="15" customHeight="1" x14ac:dyDescent="0.2">
      <c r="A46" s="190">
        <v>40</v>
      </c>
      <c r="B46" s="194" t="s">
        <v>223</v>
      </c>
      <c r="C46" s="203">
        <v>0</v>
      </c>
      <c r="D46" s="203">
        <v>0</v>
      </c>
      <c r="E46" s="203">
        <v>0</v>
      </c>
      <c r="F46" s="203">
        <v>0</v>
      </c>
    </row>
    <row r="47" spans="1:13" ht="15" customHeight="1" x14ac:dyDescent="0.2">
      <c r="A47" s="190">
        <v>41</v>
      </c>
      <c r="B47" s="194" t="s">
        <v>224</v>
      </c>
      <c r="C47" s="203">
        <v>48</v>
      </c>
      <c r="D47" s="203">
        <v>196</v>
      </c>
      <c r="E47" s="203">
        <v>100</v>
      </c>
      <c r="F47" s="203">
        <v>4169</v>
      </c>
    </row>
    <row r="48" spans="1:13" ht="15" customHeight="1" x14ac:dyDescent="0.2">
      <c r="A48" s="190">
        <v>42</v>
      </c>
      <c r="B48" s="194" t="s">
        <v>225</v>
      </c>
      <c r="C48" s="203">
        <v>0</v>
      </c>
      <c r="D48" s="203">
        <v>0</v>
      </c>
      <c r="E48" s="203">
        <v>0</v>
      </c>
      <c r="F48" s="203">
        <v>0</v>
      </c>
    </row>
    <row r="49" spans="1:13" ht="15" customHeight="1" x14ac:dyDescent="0.2">
      <c r="A49" s="190">
        <v>43</v>
      </c>
      <c r="B49" s="205" t="s">
        <v>74</v>
      </c>
      <c r="C49" s="203">
        <v>0</v>
      </c>
      <c r="D49" s="203">
        <v>0</v>
      </c>
      <c r="E49" s="203">
        <v>0</v>
      </c>
      <c r="F49" s="203">
        <v>0</v>
      </c>
    </row>
    <row r="50" spans="1:13" ht="15" customHeight="1" x14ac:dyDescent="0.2">
      <c r="A50" s="190">
        <v>44</v>
      </c>
      <c r="B50" s="194" t="s">
        <v>226</v>
      </c>
      <c r="C50" s="203">
        <v>0</v>
      </c>
      <c r="D50" s="203">
        <v>0</v>
      </c>
      <c r="E50" s="203">
        <v>0</v>
      </c>
      <c r="F50" s="203">
        <v>0</v>
      </c>
    </row>
    <row r="51" spans="1:13" ht="15" customHeight="1" x14ac:dyDescent="0.2">
      <c r="A51" s="190">
        <v>45</v>
      </c>
      <c r="B51" s="194" t="s">
        <v>227</v>
      </c>
      <c r="C51" s="203">
        <v>1545</v>
      </c>
      <c r="D51" s="203">
        <v>2922.49</v>
      </c>
      <c r="E51" s="203">
        <v>2024</v>
      </c>
      <c r="F51" s="203">
        <v>5490.76</v>
      </c>
    </row>
    <row r="52" spans="1:13" ht="15" customHeight="1" x14ac:dyDescent="0.2">
      <c r="A52" s="190">
        <v>46</v>
      </c>
      <c r="B52" s="194" t="s">
        <v>228</v>
      </c>
      <c r="C52" s="203">
        <v>0</v>
      </c>
      <c r="D52" s="203">
        <v>0</v>
      </c>
      <c r="E52" s="203">
        <v>0</v>
      </c>
      <c r="F52" s="203">
        <v>0</v>
      </c>
    </row>
    <row r="53" spans="1:13" ht="15" customHeight="1" x14ac:dyDescent="0.2">
      <c r="A53" s="190">
        <v>47</v>
      </c>
      <c r="B53" s="194" t="s">
        <v>78</v>
      </c>
      <c r="C53" s="203">
        <v>0</v>
      </c>
      <c r="D53" s="203">
        <v>0</v>
      </c>
      <c r="E53" s="203">
        <v>0</v>
      </c>
      <c r="F53" s="203">
        <v>0</v>
      </c>
      <c r="G53" s="33"/>
    </row>
    <row r="54" spans="1:13" ht="15" customHeight="1" x14ac:dyDescent="0.2">
      <c r="A54" s="190">
        <v>48</v>
      </c>
      <c r="B54" s="194" t="s">
        <v>229</v>
      </c>
      <c r="C54" s="203">
        <v>0</v>
      </c>
      <c r="D54" s="203">
        <v>0</v>
      </c>
      <c r="E54" s="203">
        <v>0</v>
      </c>
      <c r="F54" s="203">
        <v>0</v>
      </c>
    </row>
    <row r="55" spans="1:13" ht="15" customHeight="1" x14ac:dyDescent="0.2">
      <c r="A55" s="190">
        <v>49</v>
      </c>
      <c r="B55" s="194" t="s">
        <v>77</v>
      </c>
      <c r="C55" s="203">
        <v>0</v>
      </c>
      <c r="D55" s="203">
        <v>0</v>
      </c>
      <c r="E55" s="203">
        <v>0</v>
      </c>
      <c r="F55" s="203">
        <v>0</v>
      </c>
    </row>
    <row r="56" spans="1:13" ht="15" customHeight="1" x14ac:dyDescent="0.2">
      <c r="A56" s="195"/>
      <c r="B56" s="195" t="s">
        <v>408</v>
      </c>
      <c r="C56" s="206">
        <f>SUM(C34:C55)</f>
        <v>66709</v>
      </c>
      <c r="D56" s="206">
        <f t="shared" ref="D56:F56" si="1">SUM(D34:D55)</f>
        <v>164484.16999999998</v>
      </c>
      <c r="E56" s="206">
        <f t="shared" si="1"/>
        <v>250518</v>
      </c>
      <c r="F56" s="206">
        <f t="shared" si="1"/>
        <v>531717.25</v>
      </c>
      <c r="G56" s="59"/>
    </row>
    <row r="57" spans="1:13" ht="15" customHeight="1" x14ac:dyDescent="0.2">
      <c r="A57" s="190">
        <v>50</v>
      </c>
      <c r="B57" s="194" t="s">
        <v>47</v>
      </c>
      <c r="C57" s="203">
        <v>2842</v>
      </c>
      <c r="D57" s="203">
        <v>5047</v>
      </c>
      <c r="E57" s="203">
        <v>125994</v>
      </c>
      <c r="F57" s="203">
        <v>207452.65</v>
      </c>
      <c r="G57" s="59"/>
    </row>
    <row r="58" spans="1:13" ht="15" customHeight="1" x14ac:dyDescent="0.2">
      <c r="A58" s="296">
        <v>51</v>
      </c>
      <c r="B58" s="297" t="s">
        <v>230</v>
      </c>
      <c r="C58" s="203">
        <v>8369</v>
      </c>
      <c r="D58" s="203">
        <v>56786</v>
      </c>
      <c r="E58" s="203">
        <v>209809</v>
      </c>
      <c r="F58" s="203">
        <v>149742</v>
      </c>
      <c r="G58" s="59"/>
    </row>
    <row r="59" spans="1:13" ht="15" customHeight="1" x14ac:dyDescent="0.2">
      <c r="A59" s="190">
        <v>52</v>
      </c>
      <c r="B59" s="194" t="s">
        <v>53</v>
      </c>
      <c r="C59" s="203">
        <v>9370</v>
      </c>
      <c r="D59" s="203">
        <v>101369</v>
      </c>
      <c r="E59" s="203">
        <v>187906</v>
      </c>
      <c r="F59" s="203">
        <v>289467.34999999998</v>
      </c>
      <c r="G59" s="59"/>
    </row>
    <row r="60" spans="1:13" s="290" customFormat="1" ht="15" customHeight="1" x14ac:dyDescent="0.2">
      <c r="A60" s="293"/>
      <c r="B60" s="294" t="s">
        <v>415</v>
      </c>
      <c r="C60" s="206">
        <f>SUM(C57:C59)</f>
        <v>20581</v>
      </c>
      <c r="D60" s="206">
        <f t="shared" ref="D60:F60" si="2">SUM(D57:D59)</f>
        <v>163202</v>
      </c>
      <c r="E60" s="206">
        <f t="shared" si="2"/>
        <v>523709</v>
      </c>
      <c r="F60" s="206">
        <f t="shared" si="2"/>
        <v>646662</v>
      </c>
      <c r="G60" s="295"/>
      <c r="H60" s="93"/>
      <c r="I60" s="93"/>
      <c r="J60" s="93"/>
      <c r="K60" s="93"/>
      <c r="L60" s="93"/>
      <c r="M60" s="93"/>
    </row>
    <row r="61" spans="1:13" ht="15" customHeight="1" x14ac:dyDescent="0.2">
      <c r="A61" s="292">
        <v>53</v>
      </c>
      <c r="B61" s="221" t="s">
        <v>409</v>
      </c>
      <c r="C61" s="203">
        <v>35016</v>
      </c>
      <c r="D61" s="203">
        <v>799381.24</v>
      </c>
      <c r="E61" s="203">
        <v>5297550</v>
      </c>
      <c r="F61" s="203">
        <v>1355827.25</v>
      </c>
      <c r="G61" s="59"/>
    </row>
    <row r="62" spans="1:13" ht="15" customHeight="1" x14ac:dyDescent="0.2">
      <c r="A62" s="292"/>
      <c r="B62" s="221" t="s">
        <v>410</v>
      </c>
      <c r="C62" s="206">
        <f>C61</f>
        <v>35016</v>
      </c>
      <c r="D62" s="206">
        <f t="shared" ref="D62:F62" si="3">D61</f>
        <v>799381.24</v>
      </c>
      <c r="E62" s="206">
        <f t="shared" si="3"/>
        <v>5297550</v>
      </c>
      <c r="F62" s="206">
        <f t="shared" si="3"/>
        <v>1355827.25</v>
      </c>
      <c r="G62" s="59"/>
    </row>
    <row r="63" spans="1:13" ht="15" customHeight="1" x14ac:dyDescent="0.2">
      <c r="A63" s="292"/>
      <c r="B63" s="294" t="s">
        <v>411</v>
      </c>
      <c r="C63" s="206">
        <f>C62+C60+C56+C33</f>
        <v>440530</v>
      </c>
      <c r="D63" s="206">
        <f t="shared" ref="D63:F63" si="4">D62+D60+D56+D33</f>
        <v>1810384.75</v>
      </c>
      <c r="E63" s="206">
        <f t="shared" si="4"/>
        <v>7756237</v>
      </c>
      <c r="F63" s="206">
        <f t="shared" si="4"/>
        <v>5451133.8399999999</v>
      </c>
      <c r="G63" s="59"/>
    </row>
    <row r="64" spans="1:13" x14ac:dyDescent="0.2">
      <c r="A64" s="64"/>
      <c r="B64" s="59"/>
      <c r="C64" s="291"/>
      <c r="D64" s="291"/>
      <c r="E64" s="291"/>
      <c r="F64" s="291"/>
      <c r="G64" s="59"/>
    </row>
    <row r="65" spans="5:5" x14ac:dyDescent="0.2">
      <c r="E65" s="41">
        <v>7670944</v>
      </c>
    </row>
    <row r="66" spans="5:5" x14ac:dyDescent="0.2">
      <c r="E66" s="41">
        <f>E63-E65</f>
        <v>85293</v>
      </c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9" type="noConversion"/>
  <conditionalFormatting sqref="B6">
    <cfRule type="duplicateValues" dxfId="56" priority="1"/>
  </conditionalFormatting>
  <conditionalFormatting sqref="B22">
    <cfRule type="duplicateValues" dxfId="55" priority="2"/>
  </conditionalFormatting>
  <conditionalFormatting sqref="B33:B34 B26:B30">
    <cfRule type="duplicateValues" dxfId="54" priority="3"/>
  </conditionalFormatting>
  <conditionalFormatting sqref="B52">
    <cfRule type="duplicateValues" dxfId="53" priority="4"/>
  </conditionalFormatting>
  <conditionalFormatting sqref="B56">
    <cfRule type="duplicateValues" dxfId="52" priority="5"/>
  </conditionalFormatting>
  <conditionalFormatting sqref="B58">
    <cfRule type="duplicateValues" dxfId="51" priority="6"/>
  </conditionalFormatting>
  <pageMargins left="1.2" right="0.7" top="0.39" bottom="0.32" header="0.3" footer="0.3"/>
  <pageSetup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3"/>
  <sheetViews>
    <sheetView view="pageBreakPreview" zoomScale="60" zoomScaleNormal="100" workbookViewId="0">
      <pane xSplit="2" ySplit="5" topLeftCell="C38" activePane="bottomRight" state="frozen"/>
      <selection pane="topRight" activeCell="C1" sqref="C1"/>
      <selection pane="bottomLeft" activeCell="A6" sqref="A6"/>
      <selection pane="bottomRight" activeCell="K59" sqref="K59:L59"/>
    </sheetView>
  </sheetViews>
  <sheetFormatPr defaultRowHeight="12.75" x14ac:dyDescent="0.2"/>
  <cols>
    <col min="1" max="1" width="6" style="50" customWidth="1"/>
    <col min="2" max="2" width="24.42578125" style="50" bestFit="1" customWidth="1"/>
    <col min="3" max="3" width="9.140625" style="215"/>
    <col min="4" max="4" width="10" style="215" customWidth="1"/>
    <col min="5" max="5" width="7.7109375" style="215" bestFit="1" customWidth="1"/>
    <col min="6" max="6" width="9" style="215" bestFit="1" customWidth="1"/>
    <col min="7" max="7" width="6.5703125" style="215" bestFit="1" customWidth="1"/>
    <col min="8" max="8" width="7.28515625" style="215" bestFit="1" customWidth="1"/>
    <col min="9" max="9" width="7.5703125" style="215" bestFit="1" customWidth="1"/>
    <col min="10" max="10" width="8.42578125" style="215" bestFit="1" customWidth="1"/>
    <col min="11" max="11" width="5.85546875" style="215" bestFit="1" customWidth="1"/>
    <col min="12" max="12" width="7.28515625" style="215" bestFit="1" customWidth="1"/>
    <col min="13" max="13" width="6.28515625" style="215" bestFit="1" customWidth="1"/>
    <col min="14" max="14" width="8.140625" style="215" bestFit="1" customWidth="1"/>
    <col min="15" max="15" width="8.42578125" style="215" customWidth="1"/>
    <col min="16" max="16" width="8.28515625" style="215" customWidth="1"/>
    <col min="17" max="17" width="9" style="215" bestFit="1" customWidth="1"/>
    <col min="18" max="18" width="9.140625" style="215" bestFit="1" customWidth="1"/>
    <col min="19" max="19" width="9.140625" style="50"/>
    <col min="20" max="20" width="10" style="375" bestFit="1" customWidth="1"/>
    <col min="21" max="16384" width="9.140625" style="50"/>
  </cols>
  <sheetData>
    <row r="1" spans="1:20" s="54" customFormat="1" ht="20.100000000000001" customHeight="1" x14ac:dyDescent="0.2">
      <c r="A1" s="505" t="s">
        <v>498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T1" s="374"/>
    </row>
    <row r="2" spans="1:20" ht="15" customHeight="1" thickBot="1" x14ac:dyDescent="0.25">
      <c r="B2" s="506" t="s">
        <v>135</v>
      </c>
      <c r="C2" s="506"/>
      <c r="O2" s="507" t="s">
        <v>197</v>
      </c>
      <c r="P2" s="507"/>
    </row>
    <row r="3" spans="1:20" ht="60.75" thickBot="1" x14ac:dyDescent="0.25">
      <c r="A3" s="55" t="s">
        <v>198</v>
      </c>
      <c r="B3" s="51" t="s">
        <v>406</v>
      </c>
      <c r="C3" s="340" t="s">
        <v>278</v>
      </c>
      <c r="D3" s="217" t="s">
        <v>199</v>
      </c>
      <c r="E3" s="500" t="s">
        <v>282</v>
      </c>
      <c r="F3" s="501"/>
      <c r="G3" s="502" t="s">
        <v>193</v>
      </c>
      <c r="H3" s="501"/>
      <c r="I3" s="502" t="s">
        <v>200</v>
      </c>
      <c r="J3" s="501"/>
      <c r="K3" s="503" t="s">
        <v>189</v>
      </c>
      <c r="L3" s="504"/>
      <c r="M3" s="502" t="s">
        <v>194</v>
      </c>
      <c r="N3" s="501"/>
      <c r="O3" s="498" t="s">
        <v>201</v>
      </c>
      <c r="P3" s="499"/>
      <c r="Q3" s="498" t="s">
        <v>195</v>
      </c>
      <c r="R3" s="499"/>
    </row>
    <row r="4" spans="1:20" ht="15.75" thickBot="1" x14ac:dyDescent="0.25">
      <c r="A4" s="52">
        <v>1</v>
      </c>
      <c r="B4" s="53">
        <v>2</v>
      </c>
      <c r="C4" s="216">
        <v>3</v>
      </c>
      <c r="D4" s="216">
        <v>4</v>
      </c>
      <c r="E4" s="500">
        <v>5</v>
      </c>
      <c r="F4" s="501"/>
      <c r="G4" s="502">
        <v>6</v>
      </c>
      <c r="H4" s="501"/>
      <c r="I4" s="502">
        <v>7</v>
      </c>
      <c r="J4" s="501"/>
      <c r="K4" s="502">
        <v>8</v>
      </c>
      <c r="L4" s="501"/>
      <c r="M4" s="502">
        <v>9</v>
      </c>
      <c r="N4" s="501"/>
      <c r="O4" s="498">
        <v>10</v>
      </c>
      <c r="P4" s="499"/>
      <c r="Q4" s="498">
        <v>11</v>
      </c>
      <c r="R4" s="499"/>
    </row>
    <row r="5" spans="1:20" ht="15" x14ac:dyDescent="0.2">
      <c r="A5" s="364"/>
      <c r="B5" s="365" t="s">
        <v>196</v>
      </c>
      <c r="C5" s="366" t="s">
        <v>30</v>
      </c>
      <c r="D5" s="366" t="s">
        <v>30</v>
      </c>
      <c r="E5" s="366" t="s">
        <v>16</v>
      </c>
      <c r="F5" s="366" t="s">
        <v>100</v>
      </c>
      <c r="G5" s="366" t="s">
        <v>16</v>
      </c>
      <c r="H5" s="366" t="s">
        <v>100</v>
      </c>
      <c r="I5" s="366" t="s">
        <v>16</v>
      </c>
      <c r="J5" s="366" t="s">
        <v>100</v>
      </c>
      <c r="K5" s="366" t="s">
        <v>16</v>
      </c>
      <c r="L5" s="366" t="s">
        <v>100</v>
      </c>
      <c r="M5" s="366" t="s">
        <v>190</v>
      </c>
      <c r="N5" s="366" t="s">
        <v>191</v>
      </c>
      <c r="O5" s="367" t="s">
        <v>192</v>
      </c>
      <c r="P5" s="367" t="s">
        <v>100</v>
      </c>
      <c r="Q5" s="367" t="s">
        <v>16</v>
      </c>
      <c r="R5" s="367" t="s">
        <v>100</v>
      </c>
    </row>
    <row r="6" spans="1:20" ht="15" customHeight="1" x14ac:dyDescent="0.2">
      <c r="A6" s="190">
        <v>1</v>
      </c>
      <c r="B6" s="194" t="s">
        <v>56</v>
      </c>
      <c r="C6" s="368">
        <v>588</v>
      </c>
      <c r="D6" s="368">
        <v>481</v>
      </c>
      <c r="E6" s="368">
        <v>481</v>
      </c>
      <c r="F6" s="368">
        <v>574</v>
      </c>
      <c r="G6" s="368">
        <v>37</v>
      </c>
      <c r="H6" s="368">
        <v>112</v>
      </c>
      <c r="I6" s="368">
        <v>425</v>
      </c>
      <c r="J6" s="368">
        <v>473</v>
      </c>
      <c r="K6" s="368">
        <v>0</v>
      </c>
      <c r="L6" s="368">
        <v>0</v>
      </c>
      <c r="M6" s="368">
        <v>0</v>
      </c>
      <c r="N6" s="368">
        <v>0</v>
      </c>
      <c r="O6" s="368">
        <f>'Pri Sec_outstanding_6'!E6+NPS_OS_8!M6</f>
        <v>3207</v>
      </c>
      <c r="P6" s="368">
        <f>'Pri Sec_outstanding_6'!F6+NPS_OS_8!N6</f>
        <v>8205</v>
      </c>
      <c r="Q6" s="368">
        <v>859</v>
      </c>
      <c r="R6" s="368">
        <v>1198</v>
      </c>
      <c r="S6" s="497"/>
    </row>
    <row r="7" spans="1:20" ht="15" customHeight="1" x14ac:dyDescent="0.2">
      <c r="A7" s="190">
        <v>2</v>
      </c>
      <c r="B7" s="194" t="s">
        <v>57</v>
      </c>
      <c r="C7" s="368">
        <v>90</v>
      </c>
      <c r="D7" s="368">
        <v>10</v>
      </c>
      <c r="E7" s="368">
        <v>10</v>
      </c>
      <c r="F7" s="368">
        <v>92.8</v>
      </c>
      <c r="G7" s="368">
        <v>5</v>
      </c>
      <c r="H7" s="368">
        <v>69.2</v>
      </c>
      <c r="I7" s="368">
        <v>10</v>
      </c>
      <c r="J7" s="368">
        <v>30.18</v>
      </c>
      <c r="K7" s="368">
        <v>0</v>
      </c>
      <c r="L7" s="368">
        <v>0</v>
      </c>
      <c r="M7" s="368">
        <v>0</v>
      </c>
      <c r="N7" s="368">
        <v>0</v>
      </c>
      <c r="O7" s="368">
        <f>'Pri Sec_outstanding_6'!E7+NPS_OS_8!M7</f>
        <v>172</v>
      </c>
      <c r="P7" s="368">
        <f>'Pri Sec_outstanding_6'!F7+NPS_OS_8!N7</f>
        <v>668.49</v>
      </c>
      <c r="Q7" s="368">
        <v>58</v>
      </c>
      <c r="R7" s="368">
        <v>252.13</v>
      </c>
      <c r="S7" s="497"/>
    </row>
    <row r="8" spans="1:20" ht="15" customHeight="1" x14ac:dyDescent="0.2">
      <c r="A8" s="190">
        <v>3</v>
      </c>
      <c r="B8" s="194" t="s">
        <v>58</v>
      </c>
      <c r="C8" s="368">
        <v>531</v>
      </c>
      <c r="D8" s="368">
        <v>376</v>
      </c>
      <c r="E8" s="368">
        <v>351</v>
      </c>
      <c r="F8" s="368">
        <v>1001</v>
      </c>
      <c r="G8" s="368">
        <v>148</v>
      </c>
      <c r="H8" s="368">
        <v>435.8</v>
      </c>
      <c r="I8" s="368">
        <v>307</v>
      </c>
      <c r="J8" s="368">
        <v>638.34</v>
      </c>
      <c r="K8" s="368">
        <v>19</v>
      </c>
      <c r="L8" s="368">
        <v>51</v>
      </c>
      <c r="M8" s="368">
        <v>7</v>
      </c>
      <c r="N8" s="368">
        <v>27</v>
      </c>
      <c r="O8" s="368">
        <f>'Pri Sec_outstanding_6'!E8+NPS_OS_8!M8</f>
        <v>2504</v>
      </c>
      <c r="P8" s="368">
        <f>'Pri Sec_outstanding_6'!F8+NPS_OS_8!N8</f>
        <v>7937.01</v>
      </c>
      <c r="Q8" s="368">
        <v>854</v>
      </c>
      <c r="R8" s="368">
        <v>1935.57</v>
      </c>
      <c r="S8" s="497"/>
    </row>
    <row r="9" spans="1:20" ht="15" customHeight="1" x14ac:dyDescent="0.2">
      <c r="A9" s="190">
        <v>4</v>
      </c>
      <c r="B9" s="194" t="s">
        <v>59</v>
      </c>
      <c r="C9" s="368">
        <v>1287</v>
      </c>
      <c r="D9" s="368">
        <v>2216</v>
      </c>
      <c r="E9" s="368">
        <v>2068</v>
      </c>
      <c r="F9" s="368">
        <v>1537</v>
      </c>
      <c r="G9" s="368">
        <v>485</v>
      </c>
      <c r="H9" s="368">
        <v>353</v>
      </c>
      <c r="I9" s="368">
        <v>1847</v>
      </c>
      <c r="J9" s="368">
        <v>1298</v>
      </c>
      <c r="K9" s="368">
        <v>60</v>
      </c>
      <c r="L9" s="368">
        <v>249</v>
      </c>
      <c r="M9" s="368">
        <v>21</v>
      </c>
      <c r="N9" s="368">
        <v>185</v>
      </c>
      <c r="O9" s="368">
        <f>'Pri Sec_outstanding_6'!E9+NPS_OS_8!M9</f>
        <v>10301</v>
      </c>
      <c r="P9" s="368">
        <f>'Pri Sec_outstanding_6'!F9+NPS_OS_8!N9</f>
        <v>22703</v>
      </c>
      <c r="Q9" s="368">
        <v>2468</v>
      </c>
      <c r="R9" s="368">
        <v>6130</v>
      </c>
      <c r="S9" s="497"/>
    </row>
    <row r="10" spans="1:20" ht="15" customHeight="1" x14ac:dyDescent="0.2">
      <c r="A10" s="190">
        <v>5</v>
      </c>
      <c r="B10" s="194" t="s">
        <v>60</v>
      </c>
      <c r="C10" s="368">
        <v>429</v>
      </c>
      <c r="D10" s="368">
        <v>189</v>
      </c>
      <c r="E10" s="368">
        <v>170</v>
      </c>
      <c r="F10" s="368">
        <v>789</v>
      </c>
      <c r="G10" s="368">
        <v>89</v>
      </c>
      <c r="H10" s="368">
        <v>378</v>
      </c>
      <c r="I10" s="368">
        <v>170</v>
      </c>
      <c r="J10" s="368">
        <v>195</v>
      </c>
      <c r="K10" s="368">
        <v>0</v>
      </c>
      <c r="L10" s="368">
        <v>0</v>
      </c>
      <c r="M10" s="368">
        <v>85</v>
      </c>
      <c r="N10" s="368">
        <v>95</v>
      </c>
      <c r="O10" s="368">
        <f>'Pri Sec_outstanding_6'!E10+NPS_OS_8!M10</f>
        <v>1494</v>
      </c>
      <c r="P10" s="368">
        <f>'Pri Sec_outstanding_6'!F10+NPS_OS_8!N10</f>
        <v>5132</v>
      </c>
      <c r="Q10" s="368">
        <v>0</v>
      </c>
      <c r="R10" s="368">
        <v>0</v>
      </c>
      <c r="S10" s="497"/>
    </row>
    <row r="11" spans="1:20" ht="15" customHeight="1" x14ac:dyDescent="0.2">
      <c r="A11" s="190">
        <v>6</v>
      </c>
      <c r="B11" s="204" t="s">
        <v>244</v>
      </c>
      <c r="C11" s="368">
        <v>9</v>
      </c>
      <c r="D11" s="368">
        <v>0</v>
      </c>
      <c r="E11" s="368">
        <v>0</v>
      </c>
      <c r="F11" s="368">
        <v>0</v>
      </c>
      <c r="G11" s="368">
        <v>0</v>
      </c>
      <c r="H11" s="368">
        <v>0</v>
      </c>
      <c r="I11" s="368">
        <v>0</v>
      </c>
      <c r="J11" s="368">
        <v>0</v>
      </c>
      <c r="K11" s="368">
        <v>0</v>
      </c>
      <c r="L11" s="368">
        <v>0</v>
      </c>
      <c r="M11" s="368">
        <v>0</v>
      </c>
      <c r="N11" s="368">
        <v>0</v>
      </c>
      <c r="O11" s="368">
        <f>'Pri Sec_outstanding_6'!E11+NPS_OS_8!M11</f>
        <v>13</v>
      </c>
      <c r="P11" s="368">
        <f>'Pri Sec_outstanding_6'!F11+NPS_OS_8!N11</f>
        <v>49.45</v>
      </c>
      <c r="Q11" s="368">
        <v>0</v>
      </c>
      <c r="R11" s="368">
        <v>0</v>
      </c>
      <c r="S11" s="497"/>
    </row>
    <row r="12" spans="1:20" ht="15" customHeight="1" x14ac:dyDescent="0.2">
      <c r="A12" s="190">
        <v>7</v>
      </c>
      <c r="B12" s="194" t="s">
        <v>61</v>
      </c>
      <c r="C12" s="368">
        <v>366</v>
      </c>
      <c r="D12" s="368">
        <v>105</v>
      </c>
      <c r="E12" s="368">
        <v>86</v>
      </c>
      <c r="F12" s="368">
        <v>679</v>
      </c>
      <c r="G12" s="368">
        <v>45</v>
      </c>
      <c r="H12" s="368">
        <v>386</v>
      </c>
      <c r="I12" s="368">
        <v>83</v>
      </c>
      <c r="J12" s="368">
        <v>643</v>
      </c>
      <c r="K12" s="368">
        <v>4</v>
      </c>
      <c r="L12" s="368">
        <v>17</v>
      </c>
      <c r="M12" s="368">
        <v>0</v>
      </c>
      <c r="N12" s="368">
        <v>0</v>
      </c>
      <c r="O12" s="368">
        <f>'Pri Sec_outstanding_6'!E12+NPS_OS_8!M12</f>
        <v>2460</v>
      </c>
      <c r="P12" s="368">
        <f>'Pri Sec_outstanding_6'!F12+NPS_OS_8!N12</f>
        <v>7464</v>
      </c>
      <c r="Q12" s="368">
        <v>1135</v>
      </c>
      <c r="R12" s="368">
        <v>2882</v>
      </c>
      <c r="S12" s="497"/>
    </row>
    <row r="13" spans="1:20" ht="15" customHeight="1" x14ac:dyDescent="0.2">
      <c r="A13" s="190">
        <v>8</v>
      </c>
      <c r="B13" s="194" t="s">
        <v>62</v>
      </c>
      <c r="C13" s="368">
        <v>1293</v>
      </c>
      <c r="D13" s="368">
        <v>583</v>
      </c>
      <c r="E13" s="368">
        <v>546</v>
      </c>
      <c r="F13" s="368">
        <v>773</v>
      </c>
      <c r="G13" s="368">
        <v>122</v>
      </c>
      <c r="H13" s="368">
        <v>248</v>
      </c>
      <c r="I13" s="368">
        <v>546</v>
      </c>
      <c r="J13" s="368">
        <v>773</v>
      </c>
      <c r="K13" s="368">
        <v>0</v>
      </c>
      <c r="L13" s="368">
        <v>0</v>
      </c>
      <c r="M13" s="368">
        <v>0</v>
      </c>
      <c r="N13" s="368">
        <v>0</v>
      </c>
      <c r="O13" s="368">
        <f>'Pri Sec_outstanding_6'!E13+NPS_OS_8!M13</f>
        <v>11276</v>
      </c>
      <c r="P13" s="368">
        <f>'Pri Sec_outstanding_6'!F13+NPS_OS_8!N13</f>
        <v>28821</v>
      </c>
      <c r="Q13" s="368">
        <v>2602</v>
      </c>
      <c r="R13" s="368">
        <v>5894</v>
      </c>
      <c r="S13" s="497"/>
    </row>
    <row r="14" spans="1:20" ht="15" customHeight="1" x14ac:dyDescent="0.2">
      <c r="A14" s="190">
        <v>9</v>
      </c>
      <c r="B14" s="194" t="s">
        <v>49</v>
      </c>
      <c r="C14" s="368">
        <v>123</v>
      </c>
      <c r="D14" s="368">
        <v>250</v>
      </c>
      <c r="E14" s="368">
        <v>191</v>
      </c>
      <c r="F14" s="368">
        <v>563</v>
      </c>
      <c r="G14" s="368">
        <v>191</v>
      </c>
      <c r="H14" s="368">
        <v>563</v>
      </c>
      <c r="I14" s="368">
        <v>27</v>
      </c>
      <c r="J14" s="368">
        <v>98.79</v>
      </c>
      <c r="K14" s="368">
        <v>0</v>
      </c>
      <c r="L14" s="368">
        <v>0</v>
      </c>
      <c r="M14" s="368">
        <v>0</v>
      </c>
      <c r="N14" s="368">
        <v>0</v>
      </c>
      <c r="O14" s="368">
        <f>'Pri Sec_outstanding_6'!E14+NPS_OS_8!M14</f>
        <v>471</v>
      </c>
      <c r="P14" s="368">
        <f>'Pri Sec_outstanding_6'!F14+NPS_OS_8!N14</f>
        <v>1426</v>
      </c>
      <c r="Q14" s="368">
        <v>191</v>
      </c>
      <c r="R14" s="368">
        <v>563</v>
      </c>
      <c r="S14" s="497"/>
    </row>
    <row r="15" spans="1:20" ht="15" customHeight="1" x14ac:dyDescent="0.2">
      <c r="A15" s="190">
        <v>10</v>
      </c>
      <c r="B15" s="194" t="s">
        <v>50</v>
      </c>
      <c r="C15" s="368">
        <v>189</v>
      </c>
      <c r="D15" s="368">
        <v>49</v>
      </c>
      <c r="E15" s="368">
        <v>49</v>
      </c>
      <c r="F15" s="368">
        <v>81</v>
      </c>
      <c r="G15" s="368">
        <v>16</v>
      </c>
      <c r="H15" s="368">
        <v>26</v>
      </c>
      <c r="I15" s="368">
        <v>49</v>
      </c>
      <c r="J15" s="368">
        <v>81</v>
      </c>
      <c r="K15" s="368">
        <v>0</v>
      </c>
      <c r="L15" s="368">
        <v>0.1</v>
      </c>
      <c r="M15" s="368">
        <v>0</v>
      </c>
      <c r="N15" s="368">
        <v>0</v>
      </c>
      <c r="O15" s="368">
        <f>'Pri Sec_outstanding_6'!E15+NPS_OS_8!M15</f>
        <v>798</v>
      </c>
      <c r="P15" s="368">
        <f>'Pri Sec_outstanding_6'!F15+NPS_OS_8!N15</f>
        <v>1977</v>
      </c>
      <c r="Q15" s="368">
        <v>280</v>
      </c>
      <c r="R15" s="368">
        <v>800</v>
      </c>
      <c r="S15" s="497"/>
    </row>
    <row r="16" spans="1:20" ht="15" customHeight="1" x14ac:dyDescent="0.2">
      <c r="A16" s="190">
        <v>11</v>
      </c>
      <c r="B16" s="194" t="s">
        <v>82</v>
      </c>
      <c r="C16" s="368">
        <v>252</v>
      </c>
      <c r="D16" s="368">
        <v>302</v>
      </c>
      <c r="E16" s="368">
        <v>275</v>
      </c>
      <c r="F16" s="368">
        <v>852</v>
      </c>
      <c r="G16" s="368">
        <v>113</v>
      </c>
      <c r="H16" s="368">
        <v>163</v>
      </c>
      <c r="I16" s="368">
        <v>275</v>
      </c>
      <c r="J16" s="368">
        <v>396</v>
      </c>
      <c r="K16" s="368">
        <v>113</v>
      </c>
      <c r="L16" s="368">
        <v>163</v>
      </c>
      <c r="M16" s="368">
        <v>0</v>
      </c>
      <c r="N16" s="368">
        <v>0</v>
      </c>
      <c r="O16" s="368">
        <f>'Pri Sec_outstanding_6'!E16+NPS_OS_8!M16</f>
        <v>550</v>
      </c>
      <c r="P16" s="368">
        <f>'Pri Sec_outstanding_6'!F16+NPS_OS_8!N16</f>
        <v>1780</v>
      </c>
      <c r="Q16" s="368">
        <v>199</v>
      </c>
      <c r="R16" s="368">
        <v>655</v>
      </c>
      <c r="S16" s="497"/>
    </row>
    <row r="17" spans="1:20" ht="15" customHeight="1" x14ac:dyDescent="0.2">
      <c r="A17" s="190">
        <v>12</v>
      </c>
      <c r="B17" s="194" t="s">
        <v>63</v>
      </c>
      <c r="C17" s="368">
        <v>81</v>
      </c>
      <c r="D17" s="368">
        <v>52</v>
      </c>
      <c r="E17" s="368">
        <v>41</v>
      </c>
      <c r="F17" s="368">
        <v>110</v>
      </c>
      <c r="G17" s="368">
        <v>12</v>
      </c>
      <c r="H17" s="368">
        <v>37</v>
      </c>
      <c r="I17" s="368">
        <v>0</v>
      </c>
      <c r="J17" s="368">
        <v>0.25</v>
      </c>
      <c r="K17" s="368">
        <v>0</v>
      </c>
      <c r="L17" s="368">
        <v>0</v>
      </c>
      <c r="M17" s="368">
        <v>0</v>
      </c>
      <c r="N17" s="368">
        <v>0</v>
      </c>
      <c r="O17" s="368">
        <f>'Pri Sec_outstanding_6'!E17+NPS_OS_8!M17</f>
        <v>123</v>
      </c>
      <c r="P17" s="368">
        <f>'Pri Sec_outstanding_6'!F17+NPS_OS_8!N17</f>
        <v>384.98</v>
      </c>
      <c r="Q17" s="368">
        <v>37</v>
      </c>
      <c r="R17" s="368">
        <v>92.05</v>
      </c>
      <c r="S17" s="497"/>
    </row>
    <row r="18" spans="1:20" ht="15" customHeight="1" x14ac:dyDescent="0.2">
      <c r="A18" s="190">
        <v>13</v>
      </c>
      <c r="B18" s="194" t="s">
        <v>64</v>
      </c>
      <c r="C18" s="368">
        <v>162</v>
      </c>
      <c r="D18" s="368">
        <v>19</v>
      </c>
      <c r="E18" s="368">
        <v>19</v>
      </c>
      <c r="F18" s="368">
        <v>115</v>
      </c>
      <c r="G18" s="368">
        <v>8</v>
      </c>
      <c r="H18" s="368">
        <v>48</v>
      </c>
      <c r="I18" s="368">
        <v>19</v>
      </c>
      <c r="J18" s="368">
        <v>31</v>
      </c>
      <c r="K18" s="368">
        <v>0</v>
      </c>
      <c r="L18" s="368">
        <v>0</v>
      </c>
      <c r="M18" s="368">
        <v>8</v>
      </c>
      <c r="N18" s="368">
        <v>8.4</v>
      </c>
      <c r="O18" s="368">
        <f>'Pri Sec_outstanding_6'!E18+NPS_OS_8!M18</f>
        <v>319</v>
      </c>
      <c r="P18" s="368">
        <f>'Pri Sec_outstanding_6'!F18+NPS_OS_8!N18</f>
        <v>896</v>
      </c>
      <c r="Q18" s="368">
        <v>127</v>
      </c>
      <c r="R18" s="368">
        <v>358</v>
      </c>
    </row>
    <row r="19" spans="1:20" ht="15" customHeight="1" x14ac:dyDescent="0.2">
      <c r="A19" s="190">
        <v>14</v>
      </c>
      <c r="B19" s="100" t="s">
        <v>208</v>
      </c>
      <c r="C19" s="368">
        <v>201</v>
      </c>
      <c r="D19" s="368">
        <v>96</v>
      </c>
      <c r="E19" s="368">
        <v>96</v>
      </c>
      <c r="F19" s="368">
        <v>809.68</v>
      </c>
      <c r="G19" s="368">
        <v>31</v>
      </c>
      <c r="H19" s="368">
        <v>199.1</v>
      </c>
      <c r="I19" s="368">
        <v>96</v>
      </c>
      <c r="J19" s="368">
        <v>284.75</v>
      </c>
      <c r="K19" s="368">
        <v>0</v>
      </c>
      <c r="L19" s="368">
        <v>0</v>
      </c>
      <c r="M19" s="368">
        <v>0</v>
      </c>
      <c r="N19" s="368">
        <v>0</v>
      </c>
      <c r="O19" s="368">
        <f>'Pri Sec_outstanding_6'!E19+NPS_OS_8!M19</f>
        <v>1800</v>
      </c>
      <c r="P19" s="368">
        <f>'Pri Sec_outstanding_6'!F19+NPS_OS_8!N19</f>
        <v>4206.92</v>
      </c>
      <c r="Q19" s="368">
        <v>526</v>
      </c>
      <c r="R19" s="368">
        <v>1316.25</v>
      </c>
    </row>
    <row r="20" spans="1:20" ht="15" customHeight="1" x14ac:dyDescent="0.2">
      <c r="A20" s="190">
        <v>15</v>
      </c>
      <c r="B20" s="194" t="s">
        <v>209</v>
      </c>
      <c r="C20" s="368">
        <v>96</v>
      </c>
      <c r="D20" s="368">
        <v>24</v>
      </c>
      <c r="E20" s="368">
        <v>24</v>
      </c>
      <c r="F20" s="368">
        <v>86.73</v>
      </c>
      <c r="G20" s="368">
        <v>13</v>
      </c>
      <c r="H20" s="368">
        <v>46.38</v>
      </c>
      <c r="I20" s="368">
        <v>24</v>
      </c>
      <c r="J20" s="368">
        <v>86.73</v>
      </c>
      <c r="K20" s="368">
        <v>0</v>
      </c>
      <c r="L20" s="368">
        <v>0</v>
      </c>
      <c r="M20" s="368">
        <v>0</v>
      </c>
      <c r="N20" s="368">
        <v>0</v>
      </c>
      <c r="O20" s="368">
        <f>'Pri Sec_outstanding_6'!E20+NPS_OS_8!M20</f>
        <v>209</v>
      </c>
      <c r="P20" s="368">
        <f>'Pri Sec_outstanding_6'!F20+NPS_OS_8!N20</f>
        <v>653</v>
      </c>
      <c r="Q20" s="368">
        <v>79</v>
      </c>
      <c r="R20" s="368">
        <v>277.51</v>
      </c>
    </row>
    <row r="21" spans="1:20" ht="15" customHeight="1" x14ac:dyDescent="0.2">
      <c r="A21" s="190">
        <v>16</v>
      </c>
      <c r="B21" s="194" t="s">
        <v>65</v>
      </c>
      <c r="C21" s="368">
        <v>816</v>
      </c>
      <c r="D21" s="368">
        <v>198</v>
      </c>
      <c r="E21" s="368">
        <v>1500</v>
      </c>
      <c r="F21" s="368">
        <v>1933</v>
      </c>
      <c r="G21" s="368">
        <v>56</v>
      </c>
      <c r="H21" s="368">
        <v>496</v>
      </c>
      <c r="I21" s="368">
        <v>1500</v>
      </c>
      <c r="J21" s="368">
        <v>1933</v>
      </c>
      <c r="K21" s="368">
        <v>315</v>
      </c>
      <c r="L21" s="368">
        <v>412</v>
      </c>
      <c r="M21" s="368">
        <v>0</v>
      </c>
      <c r="N21" s="368">
        <v>0</v>
      </c>
      <c r="O21" s="368">
        <f>'Pri Sec_outstanding_6'!E21+NPS_OS_8!M21</f>
        <v>7572</v>
      </c>
      <c r="P21" s="368">
        <f>'Pri Sec_outstanding_6'!F21+NPS_OS_8!N21</f>
        <v>17571</v>
      </c>
      <c r="Q21" s="368">
        <v>2791</v>
      </c>
      <c r="R21" s="368">
        <v>6572</v>
      </c>
    </row>
    <row r="22" spans="1:20" ht="15" customHeight="1" x14ac:dyDescent="0.2">
      <c r="A22" s="190">
        <v>17</v>
      </c>
      <c r="B22" s="100" t="s">
        <v>70</v>
      </c>
      <c r="C22" s="368">
        <v>12</v>
      </c>
      <c r="D22" s="368">
        <v>0</v>
      </c>
      <c r="E22" s="368">
        <v>0</v>
      </c>
      <c r="F22" s="368">
        <v>0</v>
      </c>
      <c r="G22" s="368">
        <v>0</v>
      </c>
      <c r="H22" s="368">
        <v>0</v>
      </c>
      <c r="I22" s="368">
        <v>0</v>
      </c>
      <c r="J22" s="368">
        <v>0</v>
      </c>
      <c r="K22" s="368">
        <v>0</v>
      </c>
      <c r="L22" s="368">
        <v>0</v>
      </c>
      <c r="M22" s="368">
        <v>0</v>
      </c>
      <c r="N22" s="368">
        <v>0</v>
      </c>
      <c r="O22" s="368">
        <f>'Pri Sec_outstanding_6'!E22+NPS_OS_8!M22</f>
        <v>22</v>
      </c>
      <c r="P22" s="368">
        <f>'Pri Sec_outstanding_6'!F22+NPS_OS_8!N22</f>
        <v>54.77</v>
      </c>
      <c r="Q22" s="368">
        <v>0</v>
      </c>
      <c r="R22" s="368">
        <v>0</v>
      </c>
    </row>
    <row r="23" spans="1:20" ht="15" customHeight="1" x14ac:dyDescent="0.2">
      <c r="A23" s="190">
        <v>18</v>
      </c>
      <c r="B23" s="66" t="s">
        <v>210</v>
      </c>
      <c r="C23" s="368">
        <v>9</v>
      </c>
      <c r="D23" s="368">
        <v>0</v>
      </c>
      <c r="E23" s="368">
        <v>0</v>
      </c>
      <c r="F23" s="368">
        <v>0</v>
      </c>
      <c r="G23" s="368">
        <v>0</v>
      </c>
      <c r="H23" s="368">
        <v>0</v>
      </c>
      <c r="I23" s="368">
        <v>0</v>
      </c>
      <c r="J23" s="368">
        <v>0</v>
      </c>
      <c r="K23" s="368">
        <v>0</v>
      </c>
      <c r="L23" s="368">
        <v>0</v>
      </c>
      <c r="M23" s="368">
        <v>0</v>
      </c>
      <c r="N23" s="368">
        <v>0</v>
      </c>
      <c r="O23" s="368">
        <f>'Pri Sec_outstanding_6'!E23+NPS_OS_8!M23</f>
        <v>3</v>
      </c>
      <c r="P23" s="368">
        <f>'Pri Sec_outstanding_6'!F23+NPS_OS_8!N23</f>
        <v>12.34</v>
      </c>
      <c r="Q23" s="368">
        <v>0</v>
      </c>
      <c r="R23" s="368">
        <v>0</v>
      </c>
    </row>
    <row r="24" spans="1:20" ht="15" customHeight="1" x14ac:dyDescent="0.2">
      <c r="A24" s="190">
        <v>19</v>
      </c>
      <c r="B24" s="101" t="s">
        <v>211</v>
      </c>
      <c r="C24" s="368">
        <v>18</v>
      </c>
      <c r="D24" s="368">
        <v>6</v>
      </c>
      <c r="E24" s="368">
        <v>6</v>
      </c>
      <c r="F24" s="368">
        <v>23</v>
      </c>
      <c r="G24" s="368">
        <v>4</v>
      </c>
      <c r="H24" s="368">
        <v>15.48</v>
      </c>
      <c r="I24" s="368">
        <v>6</v>
      </c>
      <c r="J24" s="368">
        <v>23</v>
      </c>
      <c r="K24" s="368">
        <v>0</v>
      </c>
      <c r="L24" s="368">
        <v>0</v>
      </c>
      <c r="M24" s="368">
        <v>0</v>
      </c>
      <c r="N24" s="368">
        <v>0</v>
      </c>
      <c r="O24" s="368">
        <f>'Pri Sec_outstanding_6'!E24+NPS_OS_8!M24</f>
        <v>0</v>
      </c>
      <c r="P24" s="368">
        <f>'Pri Sec_outstanding_6'!F24+NPS_OS_8!N24</f>
        <v>0</v>
      </c>
      <c r="Q24" s="368">
        <v>38</v>
      </c>
      <c r="R24" s="368">
        <v>79</v>
      </c>
    </row>
    <row r="25" spans="1:20" ht="15" customHeight="1" x14ac:dyDescent="0.2">
      <c r="A25" s="190">
        <v>20</v>
      </c>
      <c r="B25" s="194" t="s">
        <v>212</v>
      </c>
      <c r="C25" s="368">
        <v>6</v>
      </c>
      <c r="D25" s="368">
        <v>12</v>
      </c>
      <c r="E25" s="368">
        <v>0</v>
      </c>
      <c r="F25" s="368">
        <v>0</v>
      </c>
      <c r="G25" s="368">
        <v>0</v>
      </c>
      <c r="H25" s="368">
        <v>0</v>
      </c>
      <c r="I25" s="368">
        <v>0</v>
      </c>
      <c r="J25" s="368">
        <v>0</v>
      </c>
      <c r="K25" s="368">
        <v>0</v>
      </c>
      <c r="L25" s="368">
        <v>0</v>
      </c>
      <c r="M25" s="368">
        <v>0</v>
      </c>
      <c r="N25" s="368">
        <v>0</v>
      </c>
      <c r="O25" s="368">
        <f>'Pri Sec_outstanding_6'!E25+NPS_OS_8!M25</f>
        <v>33</v>
      </c>
      <c r="P25" s="368">
        <f>'Pri Sec_outstanding_6'!F25+NPS_OS_8!N25</f>
        <v>165</v>
      </c>
      <c r="Q25" s="368">
        <v>15</v>
      </c>
      <c r="R25" s="368">
        <v>75</v>
      </c>
    </row>
    <row r="26" spans="1:20" ht="15" customHeight="1" x14ac:dyDescent="0.2">
      <c r="A26" s="190">
        <v>21</v>
      </c>
      <c r="B26" s="194" t="s">
        <v>213</v>
      </c>
      <c r="C26" s="368">
        <v>24</v>
      </c>
      <c r="D26" s="368">
        <v>0</v>
      </c>
      <c r="E26" s="368">
        <v>0</v>
      </c>
      <c r="F26" s="368">
        <v>0</v>
      </c>
      <c r="G26" s="368">
        <v>0</v>
      </c>
      <c r="H26" s="368">
        <v>0</v>
      </c>
      <c r="I26" s="368">
        <v>0</v>
      </c>
      <c r="J26" s="368">
        <v>0</v>
      </c>
      <c r="K26" s="368">
        <v>0</v>
      </c>
      <c r="L26" s="368">
        <v>0</v>
      </c>
      <c r="M26" s="368">
        <v>0</v>
      </c>
      <c r="N26" s="368">
        <v>0</v>
      </c>
      <c r="O26" s="368">
        <f>'Pri Sec_outstanding_6'!E26+NPS_OS_8!M26</f>
        <v>0</v>
      </c>
      <c r="P26" s="368">
        <f>'Pri Sec_outstanding_6'!F26+NPS_OS_8!N26</f>
        <v>0</v>
      </c>
      <c r="Q26" s="368">
        <v>0</v>
      </c>
      <c r="R26" s="368">
        <v>0</v>
      </c>
    </row>
    <row r="27" spans="1:20" s="218" customFormat="1" ht="15" customHeight="1" x14ac:dyDescent="0.2">
      <c r="A27" s="190">
        <v>22</v>
      </c>
      <c r="B27" s="194" t="s">
        <v>71</v>
      </c>
      <c r="C27" s="368">
        <v>3105</v>
      </c>
      <c r="D27" s="368">
        <v>1512</v>
      </c>
      <c r="E27" s="368">
        <v>1478</v>
      </c>
      <c r="F27" s="368">
        <v>8429</v>
      </c>
      <c r="G27" s="368">
        <v>542</v>
      </c>
      <c r="H27" s="368">
        <v>2995</v>
      </c>
      <c r="I27" s="368">
        <v>1478</v>
      </c>
      <c r="J27" s="368">
        <v>2789</v>
      </c>
      <c r="K27" s="368">
        <v>0</v>
      </c>
      <c r="L27" s="368">
        <v>0</v>
      </c>
      <c r="M27" s="368">
        <v>0</v>
      </c>
      <c r="N27" s="368">
        <v>0</v>
      </c>
      <c r="O27" s="368">
        <f>'Pri Sec_outstanding_6'!E27+NPS_OS_8!M27</f>
        <v>27579</v>
      </c>
      <c r="P27" s="368">
        <f>'Pri Sec_outstanding_6'!F27+NPS_OS_8!N27</f>
        <v>79676</v>
      </c>
      <c r="Q27" s="368">
        <v>8049</v>
      </c>
      <c r="R27" s="368">
        <v>23340</v>
      </c>
      <c r="T27" s="375"/>
    </row>
    <row r="28" spans="1:20" ht="15" customHeight="1" x14ac:dyDescent="0.2">
      <c r="A28" s="190">
        <v>23</v>
      </c>
      <c r="B28" s="194" t="s">
        <v>66</v>
      </c>
      <c r="C28" s="368">
        <v>186</v>
      </c>
      <c r="D28" s="368">
        <v>129</v>
      </c>
      <c r="E28" s="368">
        <v>129</v>
      </c>
      <c r="F28" s="368">
        <v>560</v>
      </c>
      <c r="G28" s="368">
        <v>40</v>
      </c>
      <c r="H28" s="368">
        <v>38.200000000000003</v>
      </c>
      <c r="I28" s="368">
        <v>129</v>
      </c>
      <c r="J28" s="368">
        <v>142.27000000000001</v>
      </c>
      <c r="K28" s="368">
        <v>0</v>
      </c>
      <c r="L28" s="368">
        <v>0</v>
      </c>
      <c r="M28" s="368">
        <v>0</v>
      </c>
      <c r="N28" s="368">
        <v>0</v>
      </c>
      <c r="O28" s="368">
        <f>'Pri Sec_outstanding_6'!E28+NPS_OS_8!M28</f>
        <v>7201</v>
      </c>
      <c r="P28" s="368">
        <f>'Pri Sec_outstanding_6'!F28+NPS_OS_8!N28</f>
        <v>17991</v>
      </c>
      <c r="Q28" s="368">
        <v>317</v>
      </c>
      <c r="R28" s="368">
        <v>609.59</v>
      </c>
    </row>
    <row r="29" spans="1:20" ht="15" customHeight="1" x14ac:dyDescent="0.2">
      <c r="A29" s="190">
        <v>24</v>
      </c>
      <c r="B29" s="194" t="s">
        <v>214</v>
      </c>
      <c r="C29" s="368">
        <v>411</v>
      </c>
      <c r="D29" s="368">
        <v>69</v>
      </c>
      <c r="E29" s="368">
        <v>69</v>
      </c>
      <c r="F29" s="368">
        <v>304.91000000000003</v>
      </c>
      <c r="G29" s="368">
        <v>12</v>
      </c>
      <c r="H29" s="368">
        <v>43.12</v>
      </c>
      <c r="I29" s="368">
        <v>62</v>
      </c>
      <c r="J29" s="368">
        <v>83.37</v>
      </c>
      <c r="K29" s="368">
        <v>0</v>
      </c>
      <c r="L29" s="368">
        <v>0</v>
      </c>
      <c r="M29" s="368">
        <v>0</v>
      </c>
      <c r="N29" s="368">
        <v>0</v>
      </c>
      <c r="O29" s="368">
        <f>'Pri Sec_outstanding_6'!E29+NPS_OS_8!M29</f>
        <v>2699</v>
      </c>
      <c r="P29" s="368">
        <f>'Pri Sec_outstanding_6'!F29+NPS_OS_8!N29</f>
        <v>7078</v>
      </c>
      <c r="Q29" s="368">
        <v>334</v>
      </c>
      <c r="R29" s="368">
        <v>1113</v>
      </c>
    </row>
    <row r="30" spans="1:20" ht="15" customHeight="1" x14ac:dyDescent="0.2">
      <c r="A30" s="190">
        <v>25</v>
      </c>
      <c r="B30" s="194" t="s">
        <v>67</v>
      </c>
      <c r="C30" s="368">
        <v>828</v>
      </c>
      <c r="D30" s="368">
        <v>398</v>
      </c>
      <c r="E30" s="368">
        <v>1264</v>
      </c>
      <c r="F30" s="368">
        <v>1119</v>
      </c>
      <c r="G30" s="368">
        <v>123</v>
      </c>
      <c r="H30" s="368">
        <v>927.6</v>
      </c>
      <c r="I30" s="368">
        <v>1264</v>
      </c>
      <c r="J30" s="368">
        <v>1118.95</v>
      </c>
      <c r="K30" s="368">
        <v>0</v>
      </c>
      <c r="L30" s="368">
        <v>0</v>
      </c>
      <c r="M30" s="368">
        <v>0</v>
      </c>
      <c r="N30" s="368">
        <v>0</v>
      </c>
      <c r="O30" s="368">
        <f>'Pri Sec_outstanding_6'!E30+NPS_OS_8!M30</f>
        <v>3704</v>
      </c>
      <c r="P30" s="368">
        <f>'Pri Sec_outstanding_6'!F30+NPS_OS_8!N30</f>
        <v>9443.18</v>
      </c>
      <c r="Q30" s="368">
        <v>1254</v>
      </c>
      <c r="R30" s="368">
        <v>2564.64</v>
      </c>
    </row>
    <row r="31" spans="1:20" ht="15" customHeight="1" x14ac:dyDescent="0.2">
      <c r="A31" s="190">
        <v>26</v>
      </c>
      <c r="B31" s="204" t="s">
        <v>68</v>
      </c>
      <c r="C31" s="368">
        <v>39</v>
      </c>
      <c r="D31" s="368">
        <v>6</v>
      </c>
      <c r="E31" s="368">
        <v>4</v>
      </c>
      <c r="F31" s="368">
        <v>44</v>
      </c>
      <c r="G31" s="368">
        <v>1</v>
      </c>
      <c r="H31" s="368">
        <v>4</v>
      </c>
      <c r="I31" s="368">
        <v>4</v>
      </c>
      <c r="J31" s="368">
        <v>11</v>
      </c>
      <c r="K31" s="368">
        <v>0</v>
      </c>
      <c r="L31" s="368">
        <v>0</v>
      </c>
      <c r="M31" s="368">
        <v>0</v>
      </c>
      <c r="N31" s="368">
        <v>0</v>
      </c>
      <c r="O31" s="368">
        <f>'Pri Sec_outstanding_6'!E31+NPS_OS_8!M31</f>
        <v>106</v>
      </c>
      <c r="P31" s="368">
        <f>'Pri Sec_outstanding_6'!F31+NPS_OS_8!N31</f>
        <v>307</v>
      </c>
      <c r="Q31" s="368">
        <v>36</v>
      </c>
      <c r="R31" s="368">
        <v>91</v>
      </c>
    </row>
    <row r="32" spans="1:20" ht="15" customHeight="1" x14ac:dyDescent="0.2">
      <c r="A32" s="190">
        <v>27</v>
      </c>
      <c r="B32" s="194" t="s">
        <v>51</v>
      </c>
      <c r="C32" s="368">
        <v>159</v>
      </c>
      <c r="D32" s="368">
        <v>58</v>
      </c>
      <c r="E32" s="368">
        <v>456</v>
      </c>
      <c r="F32" s="368">
        <v>1772</v>
      </c>
      <c r="G32" s="368">
        <v>170</v>
      </c>
      <c r="H32" s="368">
        <v>73</v>
      </c>
      <c r="I32" s="368">
        <v>456</v>
      </c>
      <c r="J32" s="368">
        <v>1464</v>
      </c>
      <c r="K32" s="368">
        <v>0</v>
      </c>
      <c r="L32" s="368">
        <v>0</v>
      </c>
      <c r="M32" s="368">
        <v>0</v>
      </c>
      <c r="N32" s="368">
        <v>0</v>
      </c>
      <c r="O32" s="368">
        <f>'Pri Sec_outstanding_6'!E32+NPS_OS_8!M32</f>
        <v>466</v>
      </c>
      <c r="P32" s="368">
        <f>'Pri Sec_outstanding_6'!F32+NPS_OS_8!N32</f>
        <v>1064.97</v>
      </c>
      <c r="Q32" s="368">
        <v>170</v>
      </c>
      <c r="R32" s="368">
        <v>41</v>
      </c>
    </row>
    <row r="33" spans="1:20" s="218" customFormat="1" ht="15" customHeight="1" x14ac:dyDescent="0.2">
      <c r="A33" s="192" t="s">
        <v>488</v>
      </c>
      <c r="B33" s="195" t="s">
        <v>407</v>
      </c>
      <c r="C33" s="369">
        <f>SUM(C6:C32)</f>
        <v>11310</v>
      </c>
      <c r="D33" s="369">
        <f t="shared" ref="D33:R33" si="0">SUM(D6:D32)</f>
        <v>7140</v>
      </c>
      <c r="E33" s="369">
        <f t="shared" si="0"/>
        <v>9313</v>
      </c>
      <c r="F33" s="369">
        <f t="shared" si="0"/>
        <v>22248.12</v>
      </c>
      <c r="G33" s="369">
        <f t="shared" si="0"/>
        <v>2263</v>
      </c>
      <c r="H33" s="369">
        <f t="shared" si="0"/>
        <v>7656.88</v>
      </c>
      <c r="I33" s="369">
        <f t="shared" si="0"/>
        <v>8777</v>
      </c>
      <c r="J33" s="369">
        <f t="shared" si="0"/>
        <v>12593.630000000003</v>
      </c>
      <c r="K33" s="369">
        <f t="shared" si="0"/>
        <v>511</v>
      </c>
      <c r="L33" s="369">
        <f t="shared" si="0"/>
        <v>892.1</v>
      </c>
      <c r="M33" s="369">
        <f t="shared" si="0"/>
        <v>121</v>
      </c>
      <c r="N33" s="369">
        <f t="shared" si="0"/>
        <v>315.39999999999998</v>
      </c>
      <c r="O33" s="369">
        <f>'Pri Sec_outstanding_6'!E33+NPS_OS_8!M33</f>
        <v>85082</v>
      </c>
      <c r="P33" s="369">
        <f>'Pri Sec_outstanding_6'!F33+NPS_OS_8!N33</f>
        <v>225667.11</v>
      </c>
      <c r="Q33" s="369">
        <f t="shared" si="0"/>
        <v>22419</v>
      </c>
      <c r="R33" s="369">
        <f t="shared" si="0"/>
        <v>56838.739999999991</v>
      </c>
      <c r="T33" s="375"/>
    </row>
    <row r="34" spans="1:20" s="218" customFormat="1" ht="15" customHeight="1" x14ac:dyDescent="0.2">
      <c r="A34" s="190">
        <v>28</v>
      </c>
      <c r="B34" s="194" t="s">
        <v>48</v>
      </c>
      <c r="C34" s="368">
        <v>336</v>
      </c>
      <c r="D34" s="368">
        <v>0</v>
      </c>
      <c r="E34" s="368">
        <v>229</v>
      </c>
      <c r="F34" s="368">
        <v>981.53</v>
      </c>
      <c r="G34" s="368">
        <v>62</v>
      </c>
      <c r="H34" s="368">
        <v>282.07</v>
      </c>
      <c r="I34" s="368">
        <v>229</v>
      </c>
      <c r="J34" s="368">
        <v>981.53</v>
      </c>
      <c r="K34" s="368">
        <v>0</v>
      </c>
      <c r="L34" s="368">
        <v>0</v>
      </c>
      <c r="M34" s="368">
        <v>0</v>
      </c>
      <c r="N34" s="368">
        <v>0</v>
      </c>
      <c r="O34" s="368">
        <f>'Pri Sec_outstanding_6'!E34+NPS_OS_8!M34</f>
        <v>246</v>
      </c>
      <c r="P34" s="368">
        <f>'Pri Sec_outstanding_6'!F34+NPS_OS_8!N34</f>
        <v>1177.82</v>
      </c>
      <c r="Q34" s="368">
        <v>38</v>
      </c>
      <c r="R34" s="368">
        <v>162.54</v>
      </c>
      <c r="T34" s="375"/>
    </row>
    <row r="35" spans="1:20" ht="15" customHeight="1" x14ac:dyDescent="0.2">
      <c r="A35" s="190">
        <v>29</v>
      </c>
      <c r="B35" s="194" t="s">
        <v>216</v>
      </c>
      <c r="C35" s="368">
        <v>0</v>
      </c>
      <c r="D35" s="368">
        <v>0</v>
      </c>
      <c r="E35" s="368">
        <v>0</v>
      </c>
      <c r="F35" s="368">
        <v>0</v>
      </c>
      <c r="G35" s="368">
        <v>0</v>
      </c>
      <c r="H35" s="368">
        <v>0</v>
      </c>
      <c r="I35" s="368">
        <v>0</v>
      </c>
      <c r="J35" s="368">
        <v>0</v>
      </c>
      <c r="K35" s="368">
        <v>0</v>
      </c>
      <c r="L35" s="368">
        <v>0</v>
      </c>
      <c r="M35" s="368">
        <v>0</v>
      </c>
      <c r="N35" s="368">
        <v>0</v>
      </c>
      <c r="O35" s="368">
        <f>'Pri Sec_outstanding_6'!E35+NPS_OS_8!M35</f>
        <v>0</v>
      </c>
      <c r="P35" s="368">
        <f>'Pri Sec_outstanding_6'!F35+NPS_OS_8!N35</f>
        <v>0</v>
      </c>
      <c r="Q35" s="368">
        <v>0</v>
      </c>
      <c r="R35" s="368">
        <v>0</v>
      </c>
    </row>
    <row r="36" spans="1:20" ht="15" customHeight="1" x14ac:dyDescent="0.2">
      <c r="A36" s="190">
        <v>30</v>
      </c>
      <c r="B36" s="194" t="s">
        <v>217</v>
      </c>
      <c r="C36" s="368">
        <v>0</v>
      </c>
      <c r="D36" s="368">
        <v>0</v>
      </c>
      <c r="E36" s="368">
        <v>0</v>
      </c>
      <c r="F36" s="368">
        <v>0</v>
      </c>
      <c r="G36" s="368">
        <v>0</v>
      </c>
      <c r="H36" s="368">
        <v>0</v>
      </c>
      <c r="I36" s="368">
        <v>0</v>
      </c>
      <c r="J36" s="368">
        <v>0</v>
      </c>
      <c r="K36" s="368">
        <v>0</v>
      </c>
      <c r="L36" s="368">
        <v>0</v>
      </c>
      <c r="M36" s="368">
        <v>0</v>
      </c>
      <c r="N36" s="368">
        <v>0</v>
      </c>
      <c r="O36" s="368">
        <f>'Pri Sec_outstanding_6'!E36+NPS_OS_8!M36</f>
        <v>0</v>
      </c>
      <c r="P36" s="368">
        <f>'Pri Sec_outstanding_6'!F36+NPS_OS_8!N36</f>
        <v>0</v>
      </c>
      <c r="Q36" s="368">
        <v>0</v>
      </c>
      <c r="R36" s="368">
        <v>0</v>
      </c>
    </row>
    <row r="37" spans="1:20" ht="15" customHeight="1" x14ac:dyDescent="0.2">
      <c r="A37" s="190">
        <v>31</v>
      </c>
      <c r="B37" s="194" t="s">
        <v>79</v>
      </c>
      <c r="C37" s="368">
        <v>0</v>
      </c>
      <c r="D37" s="368">
        <v>0</v>
      </c>
      <c r="E37" s="368">
        <v>0</v>
      </c>
      <c r="F37" s="368">
        <v>0</v>
      </c>
      <c r="G37" s="368">
        <v>0</v>
      </c>
      <c r="H37" s="368">
        <v>0</v>
      </c>
      <c r="I37" s="368">
        <v>0</v>
      </c>
      <c r="J37" s="368">
        <v>0</v>
      </c>
      <c r="K37" s="368">
        <v>0</v>
      </c>
      <c r="L37" s="368">
        <v>0</v>
      </c>
      <c r="M37" s="368">
        <v>0</v>
      </c>
      <c r="N37" s="368">
        <v>0</v>
      </c>
      <c r="O37" s="368">
        <f>'Pri Sec_outstanding_6'!E37+NPS_OS_8!M37</f>
        <v>0</v>
      </c>
      <c r="P37" s="368">
        <f>'Pri Sec_outstanding_6'!F37+NPS_OS_8!N37</f>
        <v>0</v>
      </c>
      <c r="Q37" s="368">
        <v>0</v>
      </c>
      <c r="R37" s="368">
        <v>0</v>
      </c>
    </row>
    <row r="38" spans="1:20" ht="15" customHeight="1" x14ac:dyDescent="0.2">
      <c r="A38" s="190">
        <v>32</v>
      </c>
      <c r="B38" s="194" t="s">
        <v>52</v>
      </c>
      <c r="C38" s="368">
        <v>0</v>
      </c>
      <c r="D38" s="368">
        <v>0</v>
      </c>
      <c r="E38" s="368">
        <v>0</v>
      </c>
      <c r="F38" s="368">
        <v>0</v>
      </c>
      <c r="G38" s="368">
        <v>0</v>
      </c>
      <c r="H38" s="368">
        <v>0</v>
      </c>
      <c r="I38" s="368">
        <v>0</v>
      </c>
      <c r="J38" s="368">
        <v>0</v>
      </c>
      <c r="K38" s="368">
        <v>0</v>
      </c>
      <c r="L38" s="368">
        <v>0</v>
      </c>
      <c r="M38" s="368">
        <v>0</v>
      </c>
      <c r="N38" s="368">
        <v>0</v>
      </c>
      <c r="O38" s="368">
        <f>'Pri Sec_outstanding_6'!E38+NPS_OS_8!M38</f>
        <v>3</v>
      </c>
      <c r="P38" s="368">
        <f>'Pri Sec_outstanding_6'!F38+NPS_OS_8!N38</f>
        <v>27.38</v>
      </c>
      <c r="Q38" s="368">
        <v>0</v>
      </c>
      <c r="R38" s="368">
        <v>0</v>
      </c>
    </row>
    <row r="39" spans="1:20" ht="15" customHeight="1" x14ac:dyDescent="0.2">
      <c r="A39" s="190">
        <v>33</v>
      </c>
      <c r="B39" s="194" t="s">
        <v>218</v>
      </c>
      <c r="C39" s="368">
        <v>6</v>
      </c>
      <c r="D39" s="368">
        <v>0</v>
      </c>
      <c r="E39" s="368">
        <v>0</v>
      </c>
      <c r="F39" s="368">
        <v>0</v>
      </c>
      <c r="G39" s="368">
        <v>0</v>
      </c>
      <c r="H39" s="368">
        <v>0</v>
      </c>
      <c r="I39" s="368">
        <v>0</v>
      </c>
      <c r="J39" s="368">
        <v>0</v>
      </c>
      <c r="K39" s="368">
        <v>0</v>
      </c>
      <c r="L39" s="368">
        <v>0</v>
      </c>
      <c r="M39" s="368">
        <v>0</v>
      </c>
      <c r="N39" s="368">
        <v>0</v>
      </c>
      <c r="O39" s="368">
        <f>'Pri Sec_outstanding_6'!E39+NPS_OS_8!M39</f>
        <v>0</v>
      </c>
      <c r="P39" s="368">
        <f>'Pri Sec_outstanding_6'!F39+NPS_OS_8!N39</f>
        <v>0</v>
      </c>
      <c r="Q39" s="368">
        <v>0</v>
      </c>
      <c r="R39" s="368">
        <v>0</v>
      </c>
    </row>
    <row r="40" spans="1:20" ht="15" customHeight="1" x14ac:dyDescent="0.2">
      <c r="A40" s="190">
        <v>34</v>
      </c>
      <c r="B40" s="194" t="s">
        <v>219</v>
      </c>
      <c r="C40" s="368">
        <v>0</v>
      </c>
      <c r="D40" s="368">
        <v>0</v>
      </c>
      <c r="E40" s="368">
        <v>0</v>
      </c>
      <c r="F40" s="368">
        <v>0</v>
      </c>
      <c r="G40" s="368">
        <v>0</v>
      </c>
      <c r="H40" s="368">
        <v>0</v>
      </c>
      <c r="I40" s="368">
        <v>0</v>
      </c>
      <c r="J40" s="368">
        <v>0</v>
      </c>
      <c r="K40" s="368">
        <v>0</v>
      </c>
      <c r="L40" s="368">
        <v>0</v>
      </c>
      <c r="M40" s="368">
        <v>0</v>
      </c>
      <c r="N40" s="368">
        <v>0</v>
      </c>
      <c r="O40" s="368">
        <f>'Pri Sec_outstanding_6'!E40+NPS_OS_8!M40</f>
        <v>0</v>
      </c>
      <c r="P40" s="368">
        <f>'Pri Sec_outstanding_6'!F40+NPS_OS_8!N40</f>
        <v>0</v>
      </c>
      <c r="Q40" s="368">
        <v>0</v>
      </c>
      <c r="R40" s="368">
        <v>0</v>
      </c>
    </row>
    <row r="41" spans="1:20" ht="15" customHeight="1" x14ac:dyDescent="0.2">
      <c r="A41" s="190">
        <v>35</v>
      </c>
      <c r="B41" s="194" t="s">
        <v>220</v>
      </c>
      <c r="C41" s="368">
        <v>12</v>
      </c>
      <c r="D41" s="368">
        <v>4</v>
      </c>
      <c r="E41" s="368">
        <v>4</v>
      </c>
      <c r="F41" s="368">
        <v>4.58</v>
      </c>
      <c r="G41" s="368">
        <v>0</v>
      </c>
      <c r="H41" s="368">
        <v>0</v>
      </c>
      <c r="I41" s="368">
        <v>4</v>
      </c>
      <c r="J41" s="368">
        <v>4.58</v>
      </c>
      <c r="K41" s="368">
        <v>0</v>
      </c>
      <c r="L41" s="368">
        <v>0</v>
      </c>
      <c r="M41" s="368">
        <v>0</v>
      </c>
      <c r="N41" s="368">
        <v>0</v>
      </c>
      <c r="O41" s="368">
        <f>'Pri Sec_outstanding_6'!E41+NPS_OS_8!M41</f>
        <v>15</v>
      </c>
      <c r="P41" s="368">
        <f>'Pri Sec_outstanding_6'!F41+NPS_OS_8!N41</f>
        <v>28.1</v>
      </c>
      <c r="Q41" s="368">
        <v>5</v>
      </c>
      <c r="R41" s="368">
        <v>12.01</v>
      </c>
    </row>
    <row r="42" spans="1:20" ht="15" customHeight="1" x14ac:dyDescent="0.2">
      <c r="A42" s="190">
        <v>36</v>
      </c>
      <c r="B42" s="194" t="s">
        <v>72</v>
      </c>
      <c r="C42" s="368">
        <v>285</v>
      </c>
      <c r="D42" s="368">
        <v>279</v>
      </c>
      <c r="E42" s="368">
        <v>279</v>
      </c>
      <c r="F42" s="368">
        <v>577.05999999999995</v>
      </c>
      <c r="G42" s="368">
        <v>102</v>
      </c>
      <c r="H42" s="368">
        <v>215.95</v>
      </c>
      <c r="I42" s="368">
        <v>279</v>
      </c>
      <c r="J42" s="368">
        <v>577.05999999999995</v>
      </c>
      <c r="K42" s="368">
        <v>0</v>
      </c>
      <c r="L42" s="368">
        <v>0</v>
      </c>
      <c r="M42" s="368">
        <v>0</v>
      </c>
      <c r="N42" s="368">
        <v>0</v>
      </c>
      <c r="O42" s="368">
        <f>'Pri Sec_outstanding_6'!E42+NPS_OS_8!M42</f>
        <v>1342</v>
      </c>
      <c r="P42" s="368">
        <f>'Pri Sec_outstanding_6'!F42+NPS_OS_8!N42</f>
        <v>2596</v>
      </c>
      <c r="Q42" s="368">
        <v>436</v>
      </c>
      <c r="R42" s="368">
        <v>837.05</v>
      </c>
    </row>
    <row r="43" spans="1:20" ht="15" customHeight="1" x14ac:dyDescent="0.2">
      <c r="A43" s="190">
        <v>37</v>
      </c>
      <c r="B43" s="194" t="s">
        <v>73</v>
      </c>
      <c r="C43" s="368">
        <v>308</v>
      </c>
      <c r="D43" s="368">
        <v>2</v>
      </c>
      <c r="E43" s="368">
        <v>2</v>
      </c>
      <c r="F43" s="368">
        <v>4.5</v>
      </c>
      <c r="G43" s="368">
        <v>2</v>
      </c>
      <c r="H43" s="368">
        <v>4.5</v>
      </c>
      <c r="I43" s="368">
        <v>2</v>
      </c>
      <c r="J43" s="368">
        <v>4.5</v>
      </c>
      <c r="K43" s="368">
        <v>0</v>
      </c>
      <c r="L43" s="368">
        <v>0</v>
      </c>
      <c r="M43" s="368">
        <v>0</v>
      </c>
      <c r="N43" s="368">
        <v>0</v>
      </c>
      <c r="O43" s="368">
        <f>'Pri Sec_outstanding_6'!E43+NPS_OS_8!M43</f>
        <v>14</v>
      </c>
      <c r="P43" s="368">
        <f>'Pri Sec_outstanding_6'!F43+NPS_OS_8!N43</f>
        <v>28.9</v>
      </c>
      <c r="Q43" s="368">
        <v>6</v>
      </c>
      <c r="R43" s="368">
        <v>14.5</v>
      </c>
    </row>
    <row r="44" spans="1:20" ht="15" customHeight="1" x14ac:dyDescent="0.2">
      <c r="A44" s="190">
        <v>38</v>
      </c>
      <c r="B44" s="194" t="s">
        <v>221</v>
      </c>
      <c r="C44" s="368">
        <v>0</v>
      </c>
      <c r="D44" s="368">
        <v>0</v>
      </c>
      <c r="E44" s="368">
        <v>0</v>
      </c>
      <c r="F44" s="368">
        <v>0</v>
      </c>
      <c r="G44" s="368">
        <v>0</v>
      </c>
      <c r="H44" s="368">
        <v>0</v>
      </c>
      <c r="I44" s="368">
        <v>0</v>
      </c>
      <c r="J44" s="368">
        <v>0</v>
      </c>
      <c r="K44" s="368">
        <v>0</v>
      </c>
      <c r="L44" s="368">
        <v>0</v>
      </c>
      <c r="M44" s="368">
        <v>0</v>
      </c>
      <c r="N44" s="368">
        <v>0</v>
      </c>
      <c r="O44" s="368">
        <f>'Pri Sec_outstanding_6'!E44+NPS_OS_8!M44</f>
        <v>0</v>
      </c>
      <c r="P44" s="368">
        <f>'Pri Sec_outstanding_6'!F44+NPS_OS_8!N44</f>
        <v>0</v>
      </c>
      <c r="Q44" s="368">
        <v>0</v>
      </c>
      <c r="R44" s="368">
        <v>0</v>
      </c>
    </row>
    <row r="45" spans="1:20" ht="15" customHeight="1" x14ac:dyDescent="0.2">
      <c r="A45" s="190">
        <v>39</v>
      </c>
      <c r="B45" s="194" t="s">
        <v>222</v>
      </c>
      <c r="C45" s="368">
        <v>36</v>
      </c>
      <c r="D45" s="368">
        <v>0</v>
      </c>
      <c r="E45" s="368">
        <v>0</v>
      </c>
      <c r="F45" s="368">
        <v>0</v>
      </c>
      <c r="G45" s="368">
        <v>0</v>
      </c>
      <c r="H45" s="368">
        <v>0</v>
      </c>
      <c r="I45" s="368">
        <v>0</v>
      </c>
      <c r="J45" s="368">
        <v>0</v>
      </c>
      <c r="K45" s="368">
        <v>0</v>
      </c>
      <c r="L45" s="368">
        <v>0</v>
      </c>
      <c r="M45" s="368">
        <v>0</v>
      </c>
      <c r="N45" s="368">
        <v>0</v>
      </c>
      <c r="O45" s="368">
        <f>'Pri Sec_outstanding_6'!E45+NPS_OS_8!M45</f>
        <v>0</v>
      </c>
      <c r="P45" s="368">
        <f>'Pri Sec_outstanding_6'!F45+NPS_OS_8!N45</f>
        <v>0</v>
      </c>
      <c r="Q45" s="368">
        <v>0</v>
      </c>
      <c r="R45" s="368">
        <v>0</v>
      </c>
    </row>
    <row r="46" spans="1:20" ht="15" customHeight="1" x14ac:dyDescent="0.2">
      <c r="A46" s="190">
        <v>40</v>
      </c>
      <c r="B46" s="194" t="s">
        <v>223</v>
      </c>
      <c r="C46" s="368">
        <v>6</v>
      </c>
      <c r="D46" s="368">
        <v>0</v>
      </c>
      <c r="E46" s="368">
        <v>0</v>
      </c>
      <c r="F46" s="368">
        <v>0</v>
      </c>
      <c r="G46" s="368">
        <v>0</v>
      </c>
      <c r="H46" s="368">
        <v>0</v>
      </c>
      <c r="I46" s="368">
        <v>0</v>
      </c>
      <c r="J46" s="368">
        <v>0</v>
      </c>
      <c r="K46" s="368">
        <v>0</v>
      </c>
      <c r="L46" s="368">
        <v>0</v>
      </c>
      <c r="M46" s="368">
        <v>0</v>
      </c>
      <c r="N46" s="368">
        <v>0</v>
      </c>
      <c r="O46" s="368">
        <f>'Pri Sec_outstanding_6'!E46+NPS_OS_8!M46</f>
        <v>0</v>
      </c>
      <c r="P46" s="368">
        <f>'Pri Sec_outstanding_6'!F46+NPS_OS_8!N46</f>
        <v>0</v>
      </c>
      <c r="Q46" s="368">
        <v>0</v>
      </c>
      <c r="R46" s="368">
        <v>0</v>
      </c>
    </row>
    <row r="47" spans="1:20" ht="15" customHeight="1" x14ac:dyDescent="0.2">
      <c r="A47" s="190">
        <v>41</v>
      </c>
      <c r="B47" s="194" t="s">
        <v>224</v>
      </c>
      <c r="C47" s="368">
        <v>15</v>
      </c>
      <c r="D47" s="368">
        <v>8</v>
      </c>
      <c r="E47" s="368">
        <v>6</v>
      </c>
      <c r="F47" s="368">
        <v>5.59</v>
      </c>
      <c r="G47" s="368">
        <v>4</v>
      </c>
      <c r="H47" s="368">
        <v>5.59</v>
      </c>
      <c r="I47" s="368">
        <v>4</v>
      </c>
      <c r="J47" s="368">
        <v>5.59</v>
      </c>
      <c r="K47" s="368">
        <v>0</v>
      </c>
      <c r="L47" s="368">
        <v>0</v>
      </c>
      <c r="M47" s="368">
        <v>0</v>
      </c>
      <c r="N47" s="368">
        <v>0</v>
      </c>
      <c r="O47" s="368">
        <f>'Pri Sec_outstanding_6'!E47+NPS_OS_8!M47</f>
        <v>12</v>
      </c>
      <c r="P47" s="368">
        <f>'Pri Sec_outstanding_6'!F47+NPS_OS_8!N47</f>
        <v>40.85</v>
      </c>
      <c r="Q47" s="368">
        <v>6</v>
      </c>
      <c r="R47" s="368">
        <v>9.19</v>
      </c>
    </row>
    <row r="48" spans="1:20" ht="15" customHeight="1" x14ac:dyDescent="0.2">
      <c r="A48" s="190">
        <v>42</v>
      </c>
      <c r="B48" s="194" t="s">
        <v>225</v>
      </c>
      <c r="C48" s="368">
        <v>9</v>
      </c>
      <c r="D48" s="368">
        <v>0</v>
      </c>
      <c r="E48" s="368">
        <v>0</v>
      </c>
      <c r="F48" s="368">
        <v>0</v>
      </c>
      <c r="G48" s="368">
        <v>0</v>
      </c>
      <c r="H48" s="368">
        <v>0</v>
      </c>
      <c r="I48" s="368">
        <v>0</v>
      </c>
      <c r="J48" s="368">
        <v>0</v>
      </c>
      <c r="K48" s="368">
        <v>0</v>
      </c>
      <c r="L48" s="368">
        <v>0</v>
      </c>
      <c r="M48" s="368">
        <v>0</v>
      </c>
      <c r="N48" s="368">
        <v>0</v>
      </c>
      <c r="O48" s="368">
        <f>'Pri Sec_outstanding_6'!E48+NPS_OS_8!M48</f>
        <v>0</v>
      </c>
      <c r="P48" s="368">
        <f>'Pri Sec_outstanding_6'!F48+NPS_OS_8!N48</f>
        <v>0</v>
      </c>
      <c r="Q48" s="368">
        <v>0</v>
      </c>
      <c r="R48" s="368">
        <v>0</v>
      </c>
    </row>
    <row r="49" spans="1:20" ht="15" customHeight="1" x14ac:dyDescent="0.2">
      <c r="A49" s="190">
        <v>43</v>
      </c>
      <c r="B49" s="194" t="s">
        <v>74</v>
      </c>
      <c r="C49" s="368">
        <v>33</v>
      </c>
      <c r="D49" s="368">
        <v>0</v>
      </c>
      <c r="E49" s="368">
        <v>0</v>
      </c>
      <c r="F49" s="368">
        <v>0</v>
      </c>
      <c r="G49" s="368">
        <v>0</v>
      </c>
      <c r="H49" s="368">
        <v>0</v>
      </c>
      <c r="I49" s="368">
        <v>0</v>
      </c>
      <c r="J49" s="368">
        <v>0</v>
      </c>
      <c r="K49" s="368">
        <v>0</v>
      </c>
      <c r="L49" s="368">
        <v>0</v>
      </c>
      <c r="M49" s="368">
        <v>0</v>
      </c>
      <c r="N49" s="368">
        <v>0</v>
      </c>
      <c r="O49" s="368">
        <f>'Pri Sec_outstanding_6'!E49+NPS_OS_8!M49</f>
        <v>0</v>
      </c>
      <c r="P49" s="368">
        <f>'Pri Sec_outstanding_6'!F49+NPS_OS_8!N49</f>
        <v>0</v>
      </c>
      <c r="Q49" s="368">
        <v>0</v>
      </c>
      <c r="R49" s="368">
        <v>0</v>
      </c>
    </row>
    <row r="50" spans="1:20" ht="15" customHeight="1" x14ac:dyDescent="0.2">
      <c r="A50" s="190">
        <v>44</v>
      </c>
      <c r="B50" s="194" t="s">
        <v>226</v>
      </c>
      <c r="C50" s="368">
        <v>3</v>
      </c>
      <c r="D50" s="368">
        <v>2</v>
      </c>
      <c r="E50" s="368">
        <v>0</v>
      </c>
      <c r="F50" s="368">
        <v>0</v>
      </c>
      <c r="G50" s="368">
        <v>0</v>
      </c>
      <c r="H50" s="368">
        <v>0</v>
      </c>
      <c r="I50" s="368">
        <v>0</v>
      </c>
      <c r="J50" s="368">
        <v>0</v>
      </c>
      <c r="K50" s="368">
        <v>0</v>
      </c>
      <c r="L50" s="368">
        <v>0</v>
      </c>
      <c r="M50" s="368">
        <v>0</v>
      </c>
      <c r="N50" s="368">
        <v>0</v>
      </c>
      <c r="O50" s="368">
        <f>'Pri Sec_outstanding_6'!E50+NPS_OS_8!M50</f>
        <v>0</v>
      </c>
      <c r="P50" s="368">
        <f>'Pri Sec_outstanding_6'!F50+NPS_OS_8!N50</f>
        <v>0</v>
      </c>
      <c r="Q50" s="368">
        <v>0</v>
      </c>
      <c r="R50" s="368">
        <v>0</v>
      </c>
    </row>
    <row r="51" spans="1:20" ht="15" customHeight="1" x14ac:dyDescent="0.2">
      <c r="A51" s="190">
        <v>45</v>
      </c>
      <c r="B51" s="194" t="s">
        <v>227</v>
      </c>
      <c r="C51" s="368">
        <v>39</v>
      </c>
      <c r="D51" s="368">
        <v>0</v>
      </c>
      <c r="E51" s="368">
        <v>298</v>
      </c>
      <c r="F51" s="368">
        <v>66</v>
      </c>
      <c r="G51" s="368">
        <v>298</v>
      </c>
      <c r="H51" s="368">
        <v>66</v>
      </c>
      <c r="I51" s="368">
        <v>298</v>
      </c>
      <c r="J51" s="368">
        <v>66</v>
      </c>
      <c r="K51" s="368">
        <v>298</v>
      </c>
      <c r="L51" s="368">
        <v>66</v>
      </c>
      <c r="M51" s="368">
        <v>0</v>
      </c>
      <c r="N51" s="368">
        <v>0</v>
      </c>
      <c r="O51" s="368">
        <f>'Pri Sec_outstanding_6'!E51+NPS_OS_8!M51</f>
        <v>883</v>
      </c>
      <c r="P51" s="368">
        <f>'Pri Sec_outstanding_6'!F51+NPS_OS_8!N51</f>
        <v>128</v>
      </c>
      <c r="Q51" s="368">
        <v>883</v>
      </c>
      <c r="R51" s="368">
        <v>128</v>
      </c>
    </row>
    <row r="52" spans="1:20" s="218" customFormat="1" ht="15" customHeight="1" x14ac:dyDescent="0.2">
      <c r="A52" s="190">
        <v>46</v>
      </c>
      <c r="B52" s="194" t="s">
        <v>228</v>
      </c>
      <c r="C52" s="368">
        <v>6</v>
      </c>
      <c r="D52" s="368">
        <v>0</v>
      </c>
      <c r="E52" s="368">
        <v>0</v>
      </c>
      <c r="F52" s="368">
        <v>0</v>
      </c>
      <c r="G52" s="368">
        <v>0</v>
      </c>
      <c r="H52" s="368">
        <v>0</v>
      </c>
      <c r="I52" s="368">
        <v>0</v>
      </c>
      <c r="J52" s="368">
        <v>0</v>
      </c>
      <c r="K52" s="368">
        <v>0</v>
      </c>
      <c r="L52" s="368">
        <v>0</v>
      </c>
      <c r="M52" s="368">
        <v>0</v>
      </c>
      <c r="N52" s="368">
        <v>0</v>
      </c>
      <c r="O52" s="368">
        <f>'Pri Sec_outstanding_6'!E52+NPS_OS_8!M52</f>
        <v>0</v>
      </c>
      <c r="P52" s="368">
        <f>'Pri Sec_outstanding_6'!F52+NPS_OS_8!N52</f>
        <v>0</v>
      </c>
      <c r="Q52" s="368">
        <v>0</v>
      </c>
      <c r="R52" s="368">
        <v>0</v>
      </c>
      <c r="T52" s="375"/>
    </row>
    <row r="53" spans="1:20" ht="15" customHeight="1" x14ac:dyDescent="0.2">
      <c r="A53" s="190">
        <v>47</v>
      </c>
      <c r="B53" s="194" t="s">
        <v>78</v>
      </c>
      <c r="C53" s="368">
        <v>0</v>
      </c>
      <c r="D53" s="368">
        <v>0</v>
      </c>
      <c r="E53" s="368">
        <v>0</v>
      </c>
      <c r="F53" s="368">
        <v>0</v>
      </c>
      <c r="G53" s="368">
        <v>0</v>
      </c>
      <c r="H53" s="368">
        <v>0</v>
      </c>
      <c r="I53" s="368">
        <v>0</v>
      </c>
      <c r="J53" s="368">
        <v>0</v>
      </c>
      <c r="K53" s="368">
        <v>0</v>
      </c>
      <c r="L53" s="368">
        <v>0</v>
      </c>
      <c r="M53" s="368">
        <v>0</v>
      </c>
      <c r="N53" s="368">
        <v>0</v>
      </c>
      <c r="O53" s="368">
        <f>'Pri Sec_outstanding_6'!E53+NPS_OS_8!M53</f>
        <v>0</v>
      </c>
      <c r="P53" s="368">
        <f>'Pri Sec_outstanding_6'!F53+NPS_OS_8!N53</f>
        <v>0</v>
      </c>
      <c r="Q53" s="368">
        <v>0</v>
      </c>
      <c r="R53" s="368">
        <v>0</v>
      </c>
    </row>
    <row r="54" spans="1:20" ht="15" customHeight="1" x14ac:dyDescent="0.2">
      <c r="A54" s="190">
        <v>48</v>
      </c>
      <c r="B54" s="194" t="s">
        <v>229</v>
      </c>
      <c r="C54" s="368">
        <v>0</v>
      </c>
      <c r="D54" s="368">
        <v>0</v>
      </c>
      <c r="E54" s="368">
        <v>0</v>
      </c>
      <c r="F54" s="368">
        <v>0</v>
      </c>
      <c r="G54" s="368">
        <v>0</v>
      </c>
      <c r="H54" s="368">
        <v>0</v>
      </c>
      <c r="I54" s="368">
        <v>0</v>
      </c>
      <c r="J54" s="368">
        <v>0</v>
      </c>
      <c r="K54" s="368">
        <v>0</v>
      </c>
      <c r="L54" s="368">
        <v>0</v>
      </c>
      <c r="M54" s="368">
        <v>0</v>
      </c>
      <c r="N54" s="368">
        <v>0</v>
      </c>
      <c r="O54" s="368">
        <f>'Pri Sec_outstanding_6'!E54+NPS_OS_8!M54</f>
        <v>0</v>
      </c>
      <c r="P54" s="368">
        <f>'Pri Sec_outstanding_6'!F54+NPS_OS_8!N54</f>
        <v>0</v>
      </c>
      <c r="Q54" s="368">
        <v>0</v>
      </c>
      <c r="R54" s="368">
        <v>0</v>
      </c>
    </row>
    <row r="55" spans="1:20" ht="15" customHeight="1" x14ac:dyDescent="0.2">
      <c r="A55" s="190">
        <v>49</v>
      </c>
      <c r="B55" s="194" t="s">
        <v>77</v>
      </c>
      <c r="C55" s="368">
        <v>27</v>
      </c>
      <c r="D55" s="368">
        <v>0</v>
      </c>
      <c r="E55" s="368">
        <v>0</v>
      </c>
      <c r="F55" s="368">
        <v>0</v>
      </c>
      <c r="G55" s="368">
        <v>0</v>
      </c>
      <c r="H55" s="368">
        <v>0</v>
      </c>
      <c r="I55" s="368">
        <v>0</v>
      </c>
      <c r="J55" s="368">
        <v>0</v>
      </c>
      <c r="K55" s="368">
        <v>0</v>
      </c>
      <c r="L55" s="368">
        <v>0</v>
      </c>
      <c r="M55" s="368">
        <v>0</v>
      </c>
      <c r="N55" s="368">
        <v>0</v>
      </c>
      <c r="O55" s="368">
        <f>'Pri Sec_outstanding_6'!E55+NPS_OS_8!M55</f>
        <v>0</v>
      </c>
      <c r="P55" s="368">
        <f>'Pri Sec_outstanding_6'!F55+NPS_OS_8!N55</f>
        <v>0</v>
      </c>
      <c r="Q55" s="368">
        <v>0</v>
      </c>
      <c r="R55" s="368">
        <v>0</v>
      </c>
    </row>
    <row r="56" spans="1:20" s="218" customFormat="1" ht="15" customHeight="1" x14ac:dyDescent="0.2">
      <c r="A56" s="195" t="s">
        <v>488</v>
      </c>
      <c r="B56" s="195" t="s">
        <v>408</v>
      </c>
      <c r="C56" s="369">
        <f>SUM(C34:C55)</f>
        <v>1121</v>
      </c>
      <c r="D56" s="369">
        <f t="shared" ref="D56:R56" si="1">SUM(D34:D55)</f>
        <v>295</v>
      </c>
      <c r="E56" s="369">
        <f t="shared" si="1"/>
        <v>818</v>
      </c>
      <c r="F56" s="369">
        <f t="shared" si="1"/>
        <v>1639.26</v>
      </c>
      <c r="G56" s="369">
        <f t="shared" si="1"/>
        <v>468</v>
      </c>
      <c r="H56" s="369">
        <f t="shared" si="1"/>
        <v>574.1099999999999</v>
      </c>
      <c r="I56" s="369">
        <f t="shared" si="1"/>
        <v>816</v>
      </c>
      <c r="J56" s="369">
        <f t="shared" si="1"/>
        <v>1639.26</v>
      </c>
      <c r="K56" s="369">
        <f t="shared" si="1"/>
        <v>298</v>
      </c>
      <c r="L56" s="369">
        <f t="shared" si="1"/>
        <v>66</v>
      </c>
      <c r="M56" s="369">
        <f t="shared" si="1"/>
        <v>0</v>
      </c>
      <c r="N56" s="369">
        <f t="shared" si="1"/>
        <v>0</v>
      </c>
      <c r="O56" s="369">
        <f>'Pri Sec_outstanding_6'!E56+NPS_OS_8!M56</f>
        <v>2515</v>
      </c>
      <c r="P56" s="369">
        <f>'Pri Sec_outstanding_6'!F56+NPS_OS_8!N56</f>
        <v>4027.0499999999997</v>
      </c>
      <c r="Q56" s="369">
        <f t="shared" si="1"/>
        <v>1374</v>
      </c>
      <c r="R56" s="369">
        <f t="shared" si="1"/>
        <v>1163.29</v>
      </c>
      <c r="T56" s="375"/>
    </row>
    <row r="57" spans="1:20" ht="15" customHeight="1" x14ac:dyDescent="0.2">
      <c r="A57" s="190">
        <v>50</v>
      </c>
      <c r="B57" s="194" t="s">
        <v>47</v>
      </c>
      <c r="C57" s="368">
        <v>938</v>
      </c>
      <c r="D57" s="368">
        <v>1876</v>
      </c>
      <c r="E57" s="368">
        <v>48</v>
      </c>
      <c r="F57" s="368">
        <v>244</v>
      </c>
      <c r="G57" s="368">
        <v>20</v>
      </c>
      <c r="H57" s="368">
        <v>87.17</v>
      </c>
      <c r="I57" s="368">
        <v>48</v>
      </c>
      <c r="J57" s="368">
        <v>244</v>
      </c>
      <c r="K57" s="368">
        <v>20</v>
      </c>
      <c r="L57" s="368">
        <v>87.17</v>
      </c>
      <c r="M57" s="368">
        <v>20</v>
      </c>
      <c r="N57" s="368">
        <v>87.17</v>
      </c>
      <c r="O57" s="368">
        <f>'Pri Sec_outstanding_6'!E57+NPS_OS_8!M57</f>
        <v>1212</v>
      </c>
      <c r="P57" s="368">
        <f>'Pri Sec_outstanding_6'!F57+NPS_OS_8!N57</f>
        <v>2892.21</v>
      </c>
      <c r="Q57" s="368">
        <v>362</v>
      </c>
      <c r="R57" s="368">
        <v>867.46</v>
      </c>
    </row>
    <row r="58" spans="1:20" s="218" customFormat="1" ht="15" customHeight="1" x14ac:dyDescent="0.2">
      <c r="A58" s="190">
        <v>51</v>
      </c>
      <c r="B58" s="194" t="s">
        <v>230</v>
      </c>
      <c r="C58" s="368">
        <v>894</v>
      </c>
      <c r="D58" s="368">
        <v>23</v>
      </c>
      <c r="E58" s="368">
        <v>21</v>
      </c>
      <c r="F58" s="368">
        <v>56</v>
      </c>
      <c r="G58" s="368">
        <v>4</v>
      </c>
      <c r="H58" s="368">
        <v>17</v>
      </c>
      <c r="I58" s="368">
        <v>21</v>
      </c>
      <c r="J58" s="368">
        <v>24.38</v>
      </c>
      <c r="K58" s="368">
        <v>0</v>
      </c>
      <c r="L58" s="368">
        <v>0</v>
      </c>
      <c r="M58" s="368">
        <v>0</v>
      </c>
      <c r="N58" s="368">
        <v>0</v>
      </c>
      <c r="O58" s="368">
        <f>'Pri Sec_outstanding_6'!E58+NPS_OS_8!M58</f>
        <v>648</v>
      </c>
      <c r="P58" s="368">
        <f>'Pri Sec_outstanding_6'!F58+NPS_OS_8!N58</f>
        <v>1243</v>
      </c>
      <c r="Q58" s="368">
        <v>153</v>
      </c>
      <c r="R58" s="368">
        <v>279</v>
      </c>
      <c r="T58" s="375"/>
    </row>
    <row r="59" spans="1:20" s="218" customFormat="1" ht="15" customHeight="1" x14ac:dyDescent="0.2">
      <c r="A59" s="190">
        <v>52</v>
      </c>
      <c r="B59" s="194" t="s">
        <v>53</v>
      </c>
      <c r="C59" s="368">
        <v>704</v>
      </c>
      <c r="D59" s="368">
        <v>132</v>
      </c>
      <c r="E59" s="368">
        <v>121</v>
      </c>
      <c r="F59" s="368">
        <v>413.52</v>
      </c>
      <c r="G59" s="368">
        <v>39</v>
      </c>
      <c r="H59" s="368">
        <v>121.8</v>
      </c>
      <c r="I59" s="368">
        <v>106</v>
      </c>
      <c r="J59" s="368">
        <v>242.19</v>
      </c>
      <c r="K59" s="368">
        <v>38</v>
      </c>
      <c r="L59" s="368">
        <v>32.04</v>
      </c>
      <c r="M59" s="368">
        <v>38</v>
      </c>
      <c r="N59" s="368">
        <v>32.04</v>
      </c>
      <c r="O59" s="368">
        <f>'Pri Sec_outstanding_6'!E59+NPS_OS_8!M59</f>
        <v>1976</v>
      </c>
      <c r="P59" s="368">
        <f>'Pri Sec_outstanding_6'!F59+NPS_OS_8!N59</f>
        <v>4250.6400000000003</v>
      </c>
      <c r="Q59" s="368">
        <v>534</v>
      </c>
      <c r="R59" s="368">
        <v>817.27</v>
      </c>
      <c r="T59" s="375"/>
    </row>
    <row r="60" spans="1:20" s="218" customFormat="1" ht="15" customHeight="1" x14ac:dyDescent="0.2">
      <c r="A60" s="372" t="s">
        <v>488</v>
      </c>
      <c r="B60" s="373" t="s">
        <v>415</v>
      </c>
      <c r="C60" s="369">
        <f>SUM(C57:C59)</f>
        <v>2536</v>
      </c>
      <c r="D60" s="369">
        <f t="shared" ref="D60:R60" si="2">SUM(D57:D59)</f>
        <v>2031</v>
      </c>
      <c r="E60" s="369">
        <f t="shared" si="2"/>
        <v>190</v>
      </c>
      <c r="F60" s="369">
        <f t="shared" si="2"/>
        <v>713.52</v>
      </c>
      <c r="G60" s="369">
        <f t="shared" si="2"/>
        <v>63</v>
      </c>
      <c r="H60" s="369">
        <f t="shared" si="2"/>
        <v>225.97</v>
      </c>
      <c r="I60" s="369">
        <f t="shared" si="2"/>
        <v>175</v>
      </c>
      <c r="J60" s="369">
        <f t="shared" si="2"/>
        <v>510.57</v>
      </c>
      <c r="K60" s="369">
        <f t="shared" si="2"/>
        <v>58</v>
      </c>
      <c r="L60" s="369">
        <f t="shared" si="2"/>
        <v>119.21000000000001</v>
      </c>
      <c r="M60" s="369">
        <f t="shared" si="2"/>
        <v>58</v>
      </c>
      <c r="N60" s="369">
        <f t="shared" si="2"/>
        <v>119.21000000000001</v>
      </c>
      <c r="O60" s="369">
        <f>'Pri Sec_outstanding_6'!E60+NPS_OS_8!M60</f>
        <v>3836</v>
      </c>
      <c r="P60" s="369">
        <f>'Pri Sec_outstanding_6'!F60+NPS_OS_8!N60</f>
        <v>8385.85</v>
      </c>
      <c r="Q60" s="369">
        <f t="shared" si="2"/>
        <v>1049</v>
      </c>
      <c r="R60" s="369">
        <f t="shared" si="2"/>
        <v>1963.73</v>
      </c>
      <c r="T60" s="375"/>
    </row>
    <row r="61" spans="1:20" ht="15" customHeight="1" x14ac:dyDescent="0.2">
      <c r="A61" s="370">
        <v>53</v>
      </c>
      <c r="B61" s="371" t="s">
        <v>409</v>
      </c>
      <c r="C61" s="368">
        <v>33</v>
      </c>
      <c r="D61" s="368">
        <v>0</v>
      </c>
      <c r="E61" s="368">
        <v>0</v>
      </c>
      <c r="F61" s="368">
        <v>0</v>
      </c>
      <c r="G61" s="368">
        <v>0</v>
      </c>
      <c r="H61" s="368">
        <v>0</v>
      </c>
      <c r="I61" s="368">
        <v>0</v>
      </c>
      <c r="J61" s="368">
        <v>0</v>
      </c>
      <c r="K61" s="368">
        <v>0</v>
      </c>
      <c r="L61" s="368">
        <v>0</v>
      </c>
      <c r="M61" s="368">
        <v>0</v>
      </c>
      <c r="N61" s="368">
        <v>0</v>
      </c>
      <c r="O61" s="368">
        <f>'Pri Sec_outstanding_6'!E61+NPS_OS_8!M61</f>
        <v>0</v>
      </c>
      <c r="P61" s="368">
        <f>'Pri Sec_outstanding_6'!F61+NPS_OS_8!N61</f>
        <v>335.54</v>
      </c>
      <c r="Q61" s="368">
        <v>0</v>
      </c>
      <c r="R61" s="368">
        <v>0</v>
      </c>
    </row>
    <row r="62" spans="1:20" s="218" customFormat="1" ht="15" customHeight="1" x14ac:dyDescent="0.2">
      <c r="A62" s="372" t="s">
        <v>488</v>
      </c>
      <c r="B62" s="373" t="s">
        <v>410</v>
      </c>
      <c r="C62" s="369">
        <f>C61</f>
        <v>33</v>
      </c>
      <c r="D62" s="369">
        <f t="shared" ref="D62:R62" si="3">D61</f>
        <v>0</v>
      </c>
      <c r="E62" s="369">
        <f t="shared" si="3"/>
        <v>0</v>
      </c>
      <c r="F62" s="369">
        <f t="shared" si="3"/>
        <v>0</v>
      </c>
      <c r="G62" s="369">
        <f t="shared" si="3"/>
        <v>0</v>
      </c>
      <c r="H62" s="369">
        <f t="shared" si="3"/>
        <v>0</v>
      </c>
      <c r="I62" s="369">
        <f t="shared" si="3"/>
        <v>0</v>
      </c>
      <c r="J62" s="369">
        <f t="shared" si="3"/>
        <v>0</v>
      </c>
      <c r="K62" s="369">
        <f t="shared" si="3"/>
        <v>0</v>
      </c>
      <c r="L62" s="369">
        <f t="shared" si="3"/>
        <v>0</v>
      </c>
      <c r="M62" s="369">
        <f t="shared" si="3"/>
        <v>0</v>
      </c>
      <c r="N62" s="369">
        <f t="shared" si="3"/>
        <v>0</v>
      </c>
      <c r="O62" s="368">
        <f>'Pri Sec_outstanding_6'!E62+NPS_OS_8!M62</f>
        <v>0</v>
      </c>
      <c r="P62" s="368">
        <f>'Pri Sec_outstanding_6'!F62+NPS_OS_8!N62</f>
        <v>335.54</v>
      </c>
      <c r="Q62" s="369">
        <f t="shared" si="3"/>
        <v>0</v>
      </c>
      <c r="R62" s="369">
        <f t="shared" si="3"/>
        <v>0</v>
      </c>
      <c r="T62" s="375"/>
    </row>
    <row r="63" spans="1:20" s="218" customFormat="1" ht="15" customHeight="1" x14ac:dyDescent="0.2">
      <c r="A63" s="372" t="s">
        <v>488</v>
      </c>
      <c r="B63" s="373" t="s">
        <v>411</v>
      </c>
      <c r="C63" s="369">
        <f>C62+C60+C56+C33</f>
        <v>15000</v>
      </c>
      <c r="D63" s="369">
        <f t="shared" ref="D63:R63" si="4">D62+D60+D56+D33</f>
        <v>9466</v>
      </c>
      <c r="E63" s="369">
        <f t="shared" si="4"/>
        <v>10321</v>
      </c>
      <c r="F63" s="369">
        <f t="shared" si="4"/>
        <v>24600.899999999998</v>
      </c>
      <c r="G63" s="369">
        <f t="shared" si="4"/>
        <v>2794</v>
      </c>
      <c r="H63" s="369">
        <f t="shared" si="4"/>
        <v>8456.9599999999991</v>
      </c>
      <c r="I63" s="369">
        <f t="shared" si="4"/>
        <v>9768</v>
      </c>
      <c r="J63" s="369">
        <f t="shared" si="4"/>
        <v>14743.460000000003</v>
      </c>
      <c r="K63" s="369">
        <f t="shared" si="4"/>
        <v>867</v>
      </c>
      <c r="L63" s="369">
        <f t="shared" si="4"/>
        <v>1077.31</v>
      </c>
      <c r="M63" s="369">
        <f t="shared" si="4"/>
        <v>179</v>
      </c>
      <c r="N63" s="369">
        <f t="shared" si="4"/>
        <v>434.61</v>
      </c>
      <c r="O63" s="369">
        <f>'Pri Sec_outstanding_6'!E63+NPS_OS_8!M63</f>
        <v>91433</v>
      </c>
      <c r="P63" s="369">
        <f>'Pri Sec_outstanding_6'!F63+NPS_OS_8!N63</f>
        <v>238415.55</v>
      </c>
      <c r="Q63" s="369">
        <f t="shared" si="4"/>
        <v>24842</v>
      </c>
      <c r="R63" s="369">
        <f t="shared" si="4"/>
        <v>59965.759999999987</v>
      </c>
      <c r="T63" s="375"/>
    </row>
  </sheetData>
  <autoFilter ref="A5:T63"/>
  <mergeCells count="18">
    <mergeCell ref="A1:R1"/>
    <mergeCell ref="B2:C2"/>
    <mergeCell ref="O2:P2"/>
    <mergeCell ref="Q3:R3"/>
    <mergeCell ref="E4:F4"/>
    <mergeCell ref="G4:H4"/>
    <mergeCell ref="I4:J4"/>
    <mergeCell ref="K4:L4"/>
    <mergeCell ref="M4:N4"/>
    <mergeCell ref="O4:P4"/>
    <mergeCell ref="S6:S17"/>
    <mergeCell ref="Q4:R4"/>
    <mergeCell ref="E3:F3"/>
    <mergeCell ref="G3:H3"/>
    <mergeCell ref="I3:J3"/>
    <mergeCell ref="K3:L3"/>
    <mergeCell ref="M3:N3"/>
    <mergeCell ref="O3:P3"/>
  </mergeCells>
  <conditionalFormatting sqref="B6">
    <cfRule type="duplicateValues" dxfId="50" priority="14"/>
  </conditionalFormatting>
  <conditionalFormatting sqref="B22">
    <cfRule type="duplicateValues" dxfId="49" priority="15"/>
  </conditionalFormatting>
  <conditionalFormatting sqref="B33:B34 B26:B30">
    <cfRule type="duplicateValues" dxfId="48" priority="16"/>
  </conditionalFormatting>
  <conditionalFormatting sqref="B52">
    <cfRule type="duplicateValues" dxfId="47" priority="17"/>
  </conditionalFormatting>
  <conditionalFormatting sqref="B56">
    <cfRule type="duplicateValues" dxfId="46" priority="18"/>
  </conditionalFormatting>
  <conditionalFormatting sqref="B58">
    <cfRule type="duplicateValues" dxfId="45" priority="19"/>
  </conditionalFormatting>
  <conditionalFormatting sqref="T6:T63">
    <cfRule type="cellIs" dxfId="44" priority="1" operator="greaterThan">
      <formula>100</formula>
    </cfRule>
    <cfRule type="cellIs" dxfId="43" priority="2" operator="greaterThan">
      <formula>100</formula>
    </cfRule>
    <cfRule type="cellIs" dxfId="42" priority="5" operator="greaterThan">
      <formula>100</formula>
    </cfRule>
  </conditionalFormatting>
  <conditionalFormatting sqref="T1:T1048576">
    <cfRule type="cellIs" dxfId="41" priority="3" operator="greaterThan">
      <formula>100</formula>
    </cfRule>
    <cfRule type="cellIs" dxfId="40" priority="4" operator="greaterThan">
      <formula>100</formula>
    </cfRule>
  </conditionalFormatting>
  <pageMargins left="0.7" right="0.7" top="0.75" bottom="0.75" header="0.3" footer="0.3"/>
  <pageSetup paperSize="9" scale="80" orientation="landscape" r:id="rId1"/>
  <rowBreaks count="1" manualBreakCount="1">
    <brk id="34" max="1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63"/>
  <sheetViews>
    <sheetView view="pageBreakPreview" zoomScale="60" zoomScaleNormal="100" workbookViewId="0">
      <pane xSplit="2" ySplit="4" topLeftCell="C35" activePane="bottomRight" state="frozen"/>
      <selection pane="topRight" activeCell="C1" sqref="C1"/>
      <selection pane="bottomLeft" activeCell="A6" sqref="A6"/>
      <selection pane="bottomRight" activeCell="M61" sqref="M61"/>
    </sheetView>
  </sheetViews>
  <sheetFormatPr defaultRowHeight="15" x14ac:dyDescent="0.2"/>
  <cols>
    <col min="1" max="1" width="6" style="36" customWidth="1"/>
    <col min="2" max="2" width="22.28515625" style="33" customWidth="1"/>
    <col min="3" max="3" width="9.7109375" style="37" bestFit="1" customWidth="1"/>
    <col min="4" max="4" width="8.5703125" style="37" bestFit="1" customWidth="1"/>
    <col min="5" max="5" width="10.140625" style="37" bestFit="1" customWidth="1"/>
    <col min="6" max="6" width="9.140625" style="37" bestFit="1" customWidth="1"/>
    <col min="7" max="7" width="10.140625" style="33" bestFit="1" customWidth="1"/>
    <col min="8" max="8" width="9.7109375" style="37" customWidth="1"/>
    <col min="9" max="9" width="9.85546875" style="33" bestFit="1" customWidth="1"/>
    <col min="10" max="10" width="9.140625" style="37" bestFit="1" customWidth="1"/>
    <col min="11" max="11" width="11.5703125" style="33" bestFit="1" customWidth="1"/>
    <col min="12" max="16384" width="9.140625" style="33"/>
  </cols>
  <sheetData>
    <row r="1" spans="1:10" ht="15.75" customHeight="1" x14ac:dyDescent="0.2">
      <c r="A1" s="489" t="s">
        <v>493</v>
      </c>
      <c r="B1" s="489"/>
      <c r="C1" s="489"/>
      <c r="D1" s="489"/>
      <c r="E1" s="489"/>
      <c r="F1" s="489"/>
      <c r="G1" s="489"/>
      <c r="H1" s="489"/>
      <c r="I1" s="489"/>
      <c r="J1" s="489"/>
    </row>
    <row r="2" spans="1:10" ht="15" customHeight="1" x14ac:dyDescent="0.2">
      <c r="A2" s="34"/>
      <c r="B2" s="35" t="s">
        <v>12</v>
      </c>
      <c r="C2" s="96"/>
      <c r="D2" s="96"/>
      <c r="I2" s="508" t="s">
        <v>180</v>
      </c>
      <c r="J2" s="508"/>
    </row>
    <row r="3" spans="1:10" ht="15" customHeight="1" x14ac:dyDescent="0.2">
      <c r="A3" s="509" t="s">
        <v>169</v>
      </c>
      <c r="B3" s="511" t="s">
        <v>3</v>
      </c>
      <c r="C3" s="513" t="s">
        <v>1</v>
      </c>
      <c r="D3" s="515"/>
      <c r="E3" s="515"/>
      <c r="F3" s="514"/>
      <c r="G3" s="513" t="s">
        <v>281</v>
      </c>
      <c r="H3" s="515"/>
      <c r="I3" s="515"/>
      <c r="J3" s="514"/>
    </row>
    <row r="4" spans="1:10" ht="15" customHeight="1" x14ac:dyDescent="0.2">
      <c r="A4" s="510"/>
      <c r="B4" s="512"/>
      <c r="C4" s="513" t="s">
        <v>279</v>
      </c>
      <c r="D4" s="514"/>
      <c r="E4" s="480" t="s">
        <v>280</v>
      </c>
      <c r="F4" s="480"/>
      <c r="G4" s="513" t="s">
        <v>279</v>
      </c>
      <c r="H4" s="514"/>
      <c r="I4" s="480" t="s">
        <v>280</v>
      </c>
      <c r="J4" s="480"/>
    </row>
    <row r="5" spans="1:10" ht="15" customHeight="1" x14ac:dyDescent="0.2">
      <c r="A5" s="94"/>
      <c r="B5" s="95"/>
      <c r="C5" s="201" t="s">
        <v>30</v>
      </c>
      <c r="D5" s="202" t="s">
        <v>17</v>
      </c>
      <c r="E5" s="201" t="s">
        <v>30</v>
      </c>
      <c r="F5" s="201" t="s">
        <v>17</v>
      </c>
      <c r="G5" s="201" t="s">
        <v>30</v>
      </c>
      <c r="H5" s="202" t="s">
        <v>17</v>
      </c>
      <c r="I5" s="201" t="s">
        <v>30</v>
      </c>
      <c r="J5" s="201" t="s">
        <v>17</v>
      </c>
    </row>
    <row r="6" spans="1:10" ht="15" customHeight="1" x14ac:dyDescent="0.2">
      <c r="A6" s="190">
        <v>1</v>
      </c>
      <c r="B6" s="194" t="s">
        <v>56</v>
      </c>
      <c r="C6" s="219">
        <v>4431</v>
      </c>
      <c r="D6" s="219">
        <v>139</v>
      </c>
      <c r="E6" s="219">
        <v>1532</v>
      </c>
      <c r="F6" s="219">
        <v>752</v>
      </c>
      <c r="G6" s="219">
        <v>341</v>
      </c>
      <c r="H6" s="219">
        <v>13</v>
      </c>
      <c r="I6" s="219">
        <v>164</v>
      </c>
      <c r="J6" s="219">
        <v>78</v>
      </c>
    </row>
    <row r="7" spans="1:10" ht="15" customHeight="1" x14ac:dyDescent="0.2">
      <c r="A7" s="190">
        <v>2</v>
      </c>
      <c r="B7" s="194" t="s">
        <v>57</v>
      </c>
      <c r="C7" s="220">
        <v>0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  <c r="I7" s="220">
        <v>0</v>
      </c>
      <c r="J7" s="220">
        <v>0</v>
      </c>
    </row>
    <row r="8" spans="1:10" ht="15" customHeight="1" x14ac:dyDescent="0.2">
      <c r="A8" s="190">
        <v>3</v>
      </c>
      <c r="B8" s="194" t="s">
        <v>58</v>
      </c>
      <c r="C8" s="203">
        <v>3637</v>
      </c>
      <c r="D8" s="203">
        <v>480</v>
      </c>
      <c r="E8" s="203">
        <v>668</v>
      </c>
      <c r="F8" s="203">
        <v>867</v>
      </c>
      <c r="G8" s="221">
        <v>243</v>
      </c>
      <c r="H8" s="203">
        <v>5.49</v>
      </c>
      <c r="I8" s="221">
        <v>156</v>
      </c>
      <c r="J8" s="203">
        <v>140.80000000000001</v>
      </c>
    </row>
    <row r="9" spans="1:10" ht="15" customHeight="1" x14ac:dyDescent="0.2">
      <c r="A9" s="190">
        <v>4</v>
      </c>
      <c r="B9" s="194" t="s">
        <v>59</v>
      </c>
      <c r="C9" s="222">
        <v>12849</v>
      </c>
      <c r="D9" s="222">
        <v>14687</v>
      </c>
      <c r="E9" s="222">
        <v>7238</v>
      </c>
      <c r="F9" s="222">
        <v>8611</v>
      </c>
      <c r="G9" s="222">
        <v>25</v>
      </c>
      <c r="H9" s="222">
        <v>46</v>
      </c>
      <c r="I9" s="222">
        <v>17</v>
      </c>
      <c r="J9" s="222">
        <v>39</v>
      </c>
    </row>
    <row r="10" spans="1:10" ht="15" customHeight="1" x14ac:dyDescent="0.2">
      <c r="A10" s="190">
        <v>5</v>
      </c>
      <c r="B10" s="194" t="s">
        <v>60</v>
      </c>
      <c r="C10" s="223">
        <v>250</v>
      </c>
      <c r="D10" s="223">
        <v>39.85</v>
      </c>
      <c r="E10" s="223">
        <v>228</v>
      </c>
      <c r="F10" s="223">
        <v>141.22999999999999</v>
      </c>
      <c r="G10" s="223">
        <v>50</v>
      </c>
      <c r="H10" s="223">
        <v>28.32</v>
      </c>
      <c r="I10" s="223">
        <v>61</v>
      </c>
      <c r="J10" s="223">
        <v>48.92</v>
      </c>
    </row>
    <row r="11" spans="1:10" ht="15" customHeight="1" x14ac:dyDescent="0.2">
      <c r="A11" s="190">
        <v>6</v>
      </c>
      <c r="B11" s="204" t="s">
        <v>244</v>
      </c>
      <c r="C11" s="203">
        <v>218</v>
      </c>
      <c r="D11" s="203">
        <v>11</v>
      </c>
      <c r="E11" s="203">
        <v>9</v>
      </c>
      <c r="F11" s="203">
        <v>20.55</v>
      </c>
      <c r="G11" s="221">
        <v>20</v>
      </c>
      <c r="H11" s="203">
        <v>0.5</v>
      </c>
      <c r="I11" s="221">
        <v>1</v>
      </c>
      <c r="J11" s="203">
        <v>1.5</v>
      </c>
    </row>
    <row r="12" spans="1:10" ht="15" customHeight="1" x14ac:dyDescent="0.2">
      <c r="A12" s="190">
        <v>7</v>
      </c>
      <c r="B12" s="194" t="s">
        <v>61</v>
      </c>
      <c r="C12" s="203">
        <v>547</v>
      </c>
      <c r="D12" s="203">
        <v>186</v>
      </c>
      <c r="E12" s="203">
        <v>501</v>
      </c>
      <c r="F12" s="203">
        <v>350</v>
      </c>
      <c r="G12" s="221">
        <v>38</v>
      </c>
      <c r="H12" s="203">
        <v>2</v>
      </c>
      <c r="I12" s="221">
        <v>47</v>
      </c>
      <c r="J12" s="203">
        <v>53</v>
      </c>
    </row>
    <row r="13" spans="1:10" ht="15" customHeight="1" x14ac:dyDescent="0.2">
      <c r="A13" s="190">
        <v>8</v>
      </c>
      <c r="B13" s="194" t="s">
        <v>62</v>
      </c>
      <c r="C13" s="203">
        <v>12817</v>
      </c>
      <c r="D13" s="203">
        <v>602</v>
      </c>
      <c r="E13" s="203">
        <v>6124</v>
      </c>
      <c r="F13" s="203">
        <v>2013</v>
      </c>
      <c r="G13" s="221">
        <v>1413</v>
      </c>
      <c r="H13" s="203">
        <v>22</v>
      </c>
      <c r="I13" s="221">
        <v>805</v>
      </c>
      <c r="J13" s="203">
        <v>407</v>
      </c>
    </row>
    <row r="14" spans="1:10" ht="15" customHeight="1" x14ac:dyDescent="0.2">
      <c r="A14" s="190">
        <v>9</v>
      </c>
      <c r="B14" s="194" t="s">
        <v>49</v>
      </c>
      <c r="C14" s="203">
        <v>150</v>
      </c>
      <c r="D14" s="203">
        <v>60</v>
      </c>
      <c r="E14" s="203">
        <v>100</v>
      </c>
      <c r="F14" s="203">
        <v>162</v>
      </c>
      <c r="G14" s="221">
        <v>25</v>
      </c>
      <c r="H14" s="203">
        <v>16.25</v>
      </c>
      <c r="I14" s="221">
        <v>15</v>
      </c>
      <c r="J14" s="203">
        <v>3.75</v>
      </c>
    </row>
    <row r="15" spans="1:10" ht="15" customHeight="1" x14ac:dyDescent="0.2">
      <c r="A15" s="190">
        <v>10</v>
      </c>
      <c r="B15" s="194" t="s">
        <v>50</v>
      </c>
      <c r="C15" s="203">
        <v>223</v>
      </c>
      <c r="D15" s="203">
        <v>17</v>
      </c>
      <c r="E15" s="203">
        <v>85</v>
      </c>
      <c r="F15" s="203">
        <v>77</v>
      </c>
      <c r="G15" s="221">
        <v>19</v>
      </c>
      <c r="H15" s="203">
        <v>1</v>
      </c>
      <c r="I15" s="221">
        <v>14</v>
      </c>
      <c r="J15" s="203">
        <v>12</v>
      </c>
    </row>
    <row r="16" spans="1:10" ht="15" customHeight="1" x14ac:dyDescent="0.2">
      <c r="A16" s="190">
        <v>11</v>
      </c>
      <c r="B16" s="194" t="s">
        <v>82</v>
      </c>
      <c r="C16" s="203">
        <v>0</v>
      </c>
      <c r="D16" s="203">
        <v>0</v>
      </c>
      <c r="E16" s="203">
        <v>0</v>
      </c>
      <c r="F16" s="203">
        <v>0</v>
      </c>
      <c r="G16" s="221">
        <v>0</v>
      </c>
      <c r="H16" s="203">
        <v>0</v>
      </c>
      <c r="I16" s="221">
        <v>0</v>
      </c>
      <c r="J16" s="203">
        <v>0</v>
      </c>
    </row>
    <row r="17" spans="1:10" ht="15" customHeight="1" x14ac:dyDescent="0.2">
      <c r="A17" s="190">
        <v>12</v>
      </c>
      <c r="B17" s="194" t="s">
        <v>63</v>
      </c>
      <c r="C17" s="203">
        <v>1069</v>
      </c>
      <c r="D17" s="203">
        <v>97.32</v>
      </c>
      <c r="E17" s="203">
        <v>716</v>
      </c>
      <c r="F17" s="203">
        <v>881.12</v>
      </c>
      <c r="G17" s="221">
        <v>162</v>
      </c>
      <c r="H17" s="203">
        <v>1.1200000000000001</v>
      </c>
      <c r="I17" s="221">
        <v>52</v>
      </c>
      <c r="J17" s="203">
        <v>1.76</v>
      </c>
    </row>
    <row r="18" spans="1:10" ht="15" customHeight="1" x14ac:dyDescent="0.2">
      <c r="A18" s="190">
        <v>13</v>
      </c>
      <c r="B18" s="194" t="s">
        <v>64</v>
      </c>
      <c r="C18" s="203">
        <v>14</v>
      </c>
      <c r="D18" s="203">
        <v>10</v>
      </c>
      <c r="E18" s="203">
        <v>0</v>
      </c>
      <c r="F18" s="203">
        <v>0</v>
      </c>
      <c r="G18" s="221">
        <v>4</v>
      </c>
      <c r="H18" s="203">
        <v>9</v>
      </c>
      <c r="I18" s="221">
        <v>0</v>
      </c>
      <c r="J18" s="203">
        <v>0</v>
      </c>
    </row>
    <row r="19" spans="1:10" ht="15" customHeight="1" x14ac:dyDescent="0.2">
      <c r="A19" s="190">
        <v>14</v>
      </c>
      <c r="B19" s="100" t="s">
        <v>208</v>
      </c>
      <c r="C19" s="203">
        <v>742</v>
      </c>
      <c r="D19" s="203">
        <v>54.06</v>
      </c>
      <c r="E19" s="203">
        <v>59</v>
      </c>
      <c r="F19" s="203">
        <v>70.48</v>
      </c>
      <c r="G19" s="221">
        <v>65</v>
      </c>
      <c r="H19" s="203">
        <v>1.76</v>
      </c>
      <c r="I19" s="221">
        <v>0</v>
      </c>
      <c r="J19" s="203">
        <v>0</v>
      </c>
    </row>
    <row r="20" spans="1:10" ht="15" customHeight="1" x14ac:dyDescent="0.2">
      <c r="A20" s="190">
        <v>15</v>
      </c>
      <c r="B20" s="194" t="s">
        <v>209</v>
      </c>
      <c r="C20" s="203">
        <v>25</v>
      </c>
      <c r="D20" s="203">
        <v>1.25</v>
      </c>
      <c r="E20" s="203">
        <v>22</v>
      </c>
      <c r="F20" s="203">
        <v>22</v>
      </c>
      <c r="G20" s="221">
        <v>4</v>
      </c>
      <c r="H20" s="203">
        <v>0.02</v>
      </c>
      <c r="I20" s="221">
        <v>4</v>
      </c>
      <c r="J20" s="203">
        <v>1.77</v>
      </c>
    </row>
    <row r="21" spans="1:10" ht="15" customHeight="1" x14ac:dyDescent="0.2">
      <c r="A21" s="190">
        <v>16</v>
      </c>
      <c r="B21" s="194" t="s">
        <v>65</v>
      </c>
      <c r="C21" s="203">
        <v>6607</v>
      </c>
      <c r="D21" s="203">
        <v>1000.77</v>
      </c>
      <c r="E21" s="203">
        <v>3186</v>
      </c>
      <c r="F21" s="203">
        <v>3081.42</v>
      </c>
      <c r="G21" s="221">
        <v>615</v>
      </c>
      <c r="H21" s="203">
        <v>4.55</v>
      </c>
      <c r="I21" s="221">
        <v>545</v>
      </c>
      <c r="J21" s="203">
        <v>621.42999999999995</v>
      </c>
    </row>
    <row r="22" spans="1:10" ht="15" customHeight="1" x14ac:dyDescent="0.2">
      <c r="A22" s="190">
        <v>17</v>
      </c>
      <c r="B22" s="112" t="s">
        <v>70</v>
      </c>
      <c r="C22" s="203">
        <v>0</v>
      </c>
      <c r="D22" s="203">
        <v>0</v>
      </c>
      <c r="E22" s="203">
        <v>0</v>
      </c>
      <c r="F22" s="203">
        <v>0</v>
      </c>
      <c r="G22" s="221">
        <v>0</v>
      </c>
      <c r="H22" s="203">
        <v>0</v>
      </c>
      <c r="I22" s="221">
        <v>0</v>
      </c>
      <c r="J22" s="203">
        <v>0</v>
      </c>
    </row>
    <row r="23" spans="1:10" ht="15" customHeight="1" x14ac:dyDescent="0.2">
      <c r="A23" s="190">
        <v>18</v>
      </c>
      <c r="B23" s="66" t="s">
        <v>210</v>
      </c>
      <c r="C23" s="203">
        <v>0</v>
      </c>
      <c r="D23" s="203">
        <v>0</v>
      </c>
      <c r="E23" s="203">
        <v>0</v>
      </c>
      <c r="F23" s="203">
        <v>0</v>
      </c>
      <c r="G23" s="221">
        <v>0</v>
      </c>
      <c r="H23" s="203">
        <v>0</v>
      </c>
      <c r="I23" s="221">
        <v>0</v>
      </c>
      <c r="J23" s="203">
        <v>0</v>
      </c>
    </row>
    <row r="24" spans="1:10" ht="15" customHeight="1" x14ac:dyDescent="0.2">
      <c r="A24" s="190">
        <v>19</v>
      </c>
      <c r="B24" s="113" t="s">
        <v>211</v>
      </c>
      <c r="C24" s="203">
        <v>0</v>
      </c>
      <c r="D24" s="203">
        <v>0</v>
      </c>
      <c r="E24" s="203">
        <v>0</v>
      </c>
      <c r="F24" s="203">
        <v>0</v>
      </c>
      <c r="G24" s="221">
        <v>0</v>
      </c>
      <c r="H24" s="203">
        <v>0</v>
      </c>
      <c r="I24" s="221">
        <v>0</v>
      </c>
      <c r="J24" s="203">
        <v>0</v>
      </c>
    </row>
    <row r="25" spans="1:10" ht="15" customHeight="1" x14ac:dyDescent="0.2">
      <c r="A25" s="190">
        <v>20</v>
      </c>
      <c r="B25" s="194" t="s">
        <v>212</v>
      </c>
      <c r="C25" s="203">
        <v>0</v>
      </c>
      <c r="D25" s="203">
        <v>0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</row>
    <row r="26" spans="1:10" ht="15" customHeight="1" x14ac:dyDescent="0.2">
      <c r="A26" s="190">
        <v>21</v>
      </c>
      <c r="B26" s="194" t="s">
        <v>213</v>
      </c>
      <c r="C26" s="203">
        <v>0</v>
      </c>
      <c r="D26" s="203">
        <v>0</v>
      </c>
      <c r="E26" s="203">
        <v>0</v>
      </c>
      <c r="F26" s="203">
        <v>0</v>
      </c>
      <c r="G26" s="221">
        <v>0</v>
      </c>
      <c r="H26" s="203">
        <v>0</v>
      </c>
      <c r="I26" s="221">
        <v>0</v>
      </c>
      <c r="J26" s="203">
        <v>0</v>
      </c>
    </row>
    <row r="27" spans="1:10" ht="15" customHeight="1" x14ac:dyDescent="0.2">
      <c r="A27" s="190">
        <v>22</v>
      </c>
      <c r="B27" s="194" t="s">
        <v>71</v>
      </c>
      <c r="C27" s="203">
        <v>27541</v>
      </c>
      <c r="D27" s="203">
        <v>7112</v>
      </c>
      <c r="E27" s="203">
        <v>22016</v>
      </c>
      <c r="F27" s="203">
        <v>4332</v>
      </c>
      <c r="G27" s="203">
        <v>1120</v>
      </c>
      <c r="H27" s="203">
        <v>1016</v>
      </c>
      <c r="I27" s="203">
        <v>940</v>
      </c>
      <c r="J27" s="203">
        <v>912</v>
      </c>
    </row>
    <row r="28" spans="1:10" ht="15" customHeight="1" x14ac:dyDescent="0.2">
      <c r="A28" s="190">
        <v>23</v>
      </c>
      <c r="B28" s="194" t="s">
        <v>66</v>
      </c>
      <c r="C28" s="203">
        <v>1304</v>
      </c>
      <c r="D28" s="203">
        <v>42</v>
      </c>
      <c r="E28" s="203">
        <v>271</v>
      </c>
      <c r="F28" s="203">
        <v>383</v>
      </c>
      <c r="G28" s="203">
        <v>27</v>
      </c>
      <c r="H28" s="203">
        <v>3</v>
      </c>
      <c r="I28" s="203">
        <v>19</v>
      </c>
      <c r="J28" s="203">
        <v>16</v>
      </c>
    </row>
    <row r="29" spans="1:10" ht="15" customHeight="1" x14ac:dyDescent="0.2">
      <c r="A29" s="190">
        <v>24</v>
      </c>
      <c r="B29" s="194" t="s">
        <v>214</v>
      </c>
      <c r="C29" s="203">
        <v>4523</v>
      </c>
      <c r="D29" s="203">
        <v>349.12</v>
      </c>
      <c r="E29" s="203">
        <v>957</v>
      </c>
      <c r="F29" s="203">
        <v>3957</v>
      </c>
      <c r="G29" s="203">
        <v>241</v>
      </c>
      <c r="H29" s="203">
        <v>18.82</v>
      </c>
      <c r="I29" s="203">
        <v>14</v>
      </c>
      <c r="J29" s="203">
        <v>8</v>
      </c>
    </row>
    <row r="30" spans="1:10" ht="15" customHeight="1" x14ac:dyDescent="0.2">
      <c r="A30" s="190">
        <v>25</v>
      </c>
      <c r="B30" s="194" t="s">
        <v>67</v>
      </c>
      <c r="C30" s="203">
        <v>7932</v>
      </c>
      <c r="D30" s="203">
        <v>65.66</v>
      </c>
      <c r="E30" s="203">
        <v>7386</v>
      </c>
      <c r="F30" s="203">
        <v>5567.59</v>
      </c>
      <c r="G30" s="221">
        <v>678</v>
      </c>
      <c r="H30" s="203">
        <v>42.14</v>
      </c>
      <c r="I30" s="221">
        <v>150</v>
      </c>
      <c r="J30" s="203">
        <v>82.38</v>
      </c>
    </row>
    <row r="31" spans="1:10" ht="15" customHeight="1" x14ac:dyDescent="0.2">
      <c r="A31" s="190">
        <v>26</v>
      </c>
      <c r="B31" s="204" t="s">
        <v>68</v>
      </c>
      <c r="C31" s="203">
        <v>0</v>
      </c>
      <c r="D31" s="203">
        <v>0</v>
      </c>
      <c r="E31" s="203">
        <v>0</v>
      </c>
      <c r="F31" s="203">
        <v>0</v>
      </c>
      <c r="G31" s="221">
        <v>0</v>
      </c>
      <c r="H31" s="203">
        <v>0</v>
      </c>
      <c r="I31" s="221">
        <v>0</v>
      </c>
      <c r="J31" s="203">
        <v>0</v>
      </c>
    </row>
    <row r="32" spans="1:10" ht="15" customHeight="1" x14ac:dyDescent="0.2">
      <c r="A32" s="190">
        <v>27</v>
      </c>
      <c r="B32" s="194" t="s">
        <v>51</v>
      </c>
      <c r="C32" s="203">
        <v>673</v>
      </c>
      <c r="D32" s="203">
        <v>2.66</v>
      </c>
      <c r="E32" s="203">
        <v>38</v>
      </c>
      <c r="F32" s="203">
        <v>17.68</v>
      </c>
      <c r="G32" s="203">
        <v>120</v>
      </c>
      <c r="H32" s="203">
        <v>0.36</v>
      </c>
      <c r="I32" s="203">
        <v>16</v>
      </c>
      <c r="J32" s="203">
        <v>5.23</v>
      </c>
    </row>
    <row r="33" spans="1:10" s="93" customFormat="1" ht="15" customHeight="1" x14ac:dyDescent="0.2">
      <c r="A33" s="192" t="s">
        <v>488</v>
      </c>
      <c r="B33" s="195" t="s">
        <v>407</v>
      </c>
      <c r="C33" s="206">
        <f>SUM(C6:C32)</f>
        <v>85552</v>
      </c>
      <c r="D33" s="206">
        <f t="shared" ref="D33:J33" si="0">SUM(D6:D32)</f>
        <v>24956.69</v>
      </c>
      <c r="E33" s="206">
        <f t="shared" si="0"/>
        <v>51136</v>
      </c>
      <c r="F33" s="206">
        <f t="shared" si="0"/>
        <v>31306.07</v>
      </c>
      <c r="G33" s="206">
        <f t="shared" si="0"/>
        <v>5210</v>
      </c>
      <c r="H33" s="206">
        <f t="shared" si="0"/>
        <v>1231.33</v>
      </c>
      <c r="I33" s="206">
        <f t="shared" si="0"/>
        <v>3020</v>
      </c>
      <c r="J33" s="206">
        <f t="shared" si="0"/>
        <v>2432.54</v>
      </c>
    </row>
    <row r="34" spans="1:10" ht="15" customHeight="1" x14ac:dyDescent="0.2">
      <c r="A34" s="190">
        <v>28</v>
      </c>
      <c r="B34" s="194" t="s">
        <v>48</v>
      </c>
      <c r="C34" s="203">
        <v>0</v>
      </c>
      <c r="D34" s="203">
        <v>0</v>
      </c>
      <c r="E34" s="203">
        <v>4</v>
      </c>
      <c r="F34" s="203">
        <v>0.89</v>
      </c>
      <c r="G34" s="203">
        <v>0</v>
      </c>
      <c r="H34" s="203">
        <v>0</v>
      </c>
      <c r="I34" s="203">
        <v>0</v>
      </c>
      <c r="J34" s="203">
        <v>0</v>
      </c>
    </row>
    <row r="35" spans="1:10" ht="15" customHeight="1" x14ac:dyDescent="0.2">
      <c r="A35" s="190">
        <v>29</v>
      </c>
      <c r="B35" s="194" t="s">
        <v>216</v>
      </c>
      <c r="C35" s="203">
        <v>189964</v>
      </c>
      <c r="D35" s="203">
        <v>41133</v>
      </c>
      <c r="E35" s="203">
        <v>189964</v>
      </c>
      <c r="F35" s="203">
        <v>41133</v>
      </c>
      <c r="G35" s="221">
        <v>19638</v>
      </c>
      <c r="H35" s="203">
        <v>4252</v>
      </c>
      <c r="I35" s="221">
        <v>19638</v>
      </c>
      <c r="J35" s="203">
        <v>4252</v>
      </c>
    </row>
    <row r="36" spans="1:10" ht="15" customHeight="1" x14ac:dyDescent="0.2">
      <c r="A36" s="190">
        <v>30</v>
      </c>
      <c r="B36" s="194" t="s">
        <v>217</v>
      </c>
      <c r="C36" s="203">
        <v>0</v>
      </c>
      <c r="D36" s="203">
        <v>0</v>
      </c>
      <c r="E36" s="203">
        <v>0</v>
      </c>
      <c r="F36" s="203">
        <v>0</v>
      </c>
      <c r="G36" s="203">
        <v>0</v>
      </c>
      <c r="H36" s="203">
        <v>0</v>
      </c>
      <c r="I36" s="203">
        <v>0</v>
      </c>
      <c r="J36" s="203">
        <v>0</v>
      </c>
    </row>
    <row r="37" spans="1:10" ht="15" customHeight="1" x14ac:dyDescent="0.2">
      <c r="A37" s="190">
        <v>31</v>
      </c>
      <c r="B37" s="194" t="s">
        <v>79</v>
      </c>
      <c r="C37" s="203">
        <v>0</v>
      </c>
      <c r="D37" s="203">
        <v>0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</row>
    <row r="38" spans="1:10" ht="15" customHeight="1" x14ac:dyDescent="0.2">
      <c r="A38" s="190">
        <v>32</v>
      </c>
      <c r="B38" s="194" t="s">
        <v>52</v>
      </c>
      <c r="C38" s="203">
        <v>0</v>
      </c>
      <c r="D38" s="203">
        <v>0</v>
      </c>
      <c r="E38" s="203">
        <v>0</v>
      </c>
      <c r="F38" s="203">
        <v>0</v>
      </c>
      <c r="G38" s="221">
        <v>0</v>
      </c>
      <c r="H38" s="203">
        <v>0</v>
      </c>
      <c r="I38" s="221">
        <v>0</v>
      </c>
      <c r="J38" s="203">
        <v>0</v>
      </c>
    </row>
    <row r="39" spans="1:10" ht="15" customHeight="1" x14ac:dyDescent="0.2">
      <c r="A39" s="190">
        <v>33</v>
      </c>
      <c r="B39" s="194" t="s">
        <v>218</v>
      </c>
      <c r="C39" s="203">
        <v>0</v>
      </c>
      <c r="D39" s="203">
        <v>0</v>
      </c>
      <c r="E39" s="203">
        <v>0</v>
      </c>
      <c r="F39" s="203">
        <v>0</v>
      </c>
      <c r="G39" s="221">
        <v>0</v>
      </c>
      <c r="H39" s="203">
        <v>0</v>
      </c>
      <c r="I39" s="221">
        <v>0</v>
      </c>
      <c r="J39" s="203">
        <v>0</v>
      </c>
    </row>
    <row r="40" spans="1:10" ht="15" customHeight="1" x14ac:dyDescent="0.2">
      <c r="A40" s="190">
        <v>34</v>
      </c>
      <c r="B40" s="194" t="s">
        <v>219</v>
      </c>
      <c r="C40" s="203">
        <v>0</v>
      </c>
      <c r="D40" s="203">
        <v>0</v>
      </c>
      <c r="E40" s="203">
        <v>0</v>
      </c>
      <c r="F40" s="203">
        <v>0</v>
      </c>
      <c r="G40" s="221">
        <v>0</v>
      </c>
      <c r="H40" s="203">
        <v>0</v>
      </c>
      <c r="I40" s="221">
        <v>0</v>
      </c>
      <c r="J40" s="203">
        <v>0</v>
      </c>
    </row>
    <row r="41" spans="1:10" ht="15" customHeight="1" x14ac:dyDescent="0.2">
      <c r="A41" s="190">
        <v>35</v>
      </c>
      <c r="B41" s="194" t="s">
        <v>220</v>
      </c>
      <c r="C41" s="203">
        <v>0</v>
      </c>
      <c r="D41" s="203">
        <v>0</v>
      </c>
      <c r="E41" s="203">
        <v>0</v>
      </c>
      <c r="F41" s="203">
        <v>0</v>
      </c>
      <c r="G41" s="221">
        <v>0</v>
      </c>
      <c r="H41" s="203">
        <v>0</v>
      </c>
      <c r="I41" s="221">
        <v>0</v>
      </c>
      <c r="J41" s="203">
        <v>0</v>
      </c>
    </row>
    <row r="42" spans="1:10" ht="15" customHeight="1" x14ac:dyDescent="0.2">
      <c r="A42" s="190">
        <v>36</v>
      </c>
      <c r="B42" s="194" t="s">
        <v>72</v>
      </c>
      <c r="C42" s="203">
        <v>28</v>
      </c>
      <c r="D42" s="203">
        <v>55.99</v>
      </c>
      <c r="E42" s="203">
        <v>28</v>
      </c>
      <c r="F42" s="203">
        <v>55.99</v>
      </c>
      <c r="G42" s="203">
        <v>28</v>
      </c>
      <c r="H42" s="203">
        <v>55.99</v>
      </c>
      <c r="I42" s="203">
        <v>28</v>
      </c>
      <c r="J42" s="203">
        <v>55.99</v>
      </c>
    </row>
    <row r="43" spans="1:10" ht="15" customHeight="1" x14ac:dyDescent="0.2">
      <c r="A43" s="190">
        <v>37</v>
      </c>
      <c r="B43" s="145" t="s">
        <v>73</v>
      </c>
      <c r="C43" s="203">
        <v>6229</v>
      </c>
      <c r="D43" s="203">
        <v>3911</v>
      </c>
      <c r="E43" s="203">
        <v>5905</v>
      </c>
      <c r="F43" s="203">
        <v>3298.64</v>
      </c>
      <c r="G43" s="225">
        <v>1095</v>
      </c>
      <c r="H43" s="225">
        <v>949.45</v>
      </c>
      <c r="I43" s="225">
        <v>1095</v>
      </c>
      <c r="J43" s="225">
        <v>949.45</v>
      </c>
    </row>
    <row r="44" spans="1:10" ht="15" customHeight="1" x14ac:dyDescent="0.2">
      <c r="A44" s="190">
        <v>38</v>
      </c>
      <c r="B44" s="194" t="s">
        <v>221</v>
      </c>
      <c r="C44" s="203">
        <v>0</v>
      </c>
      <c r="D44" s="203">
        <v>0</v>
      </c>
      <c r="E44" s="203">
        <v>0</v>
      </c>
      <c r="F44" s="203">
        <v>0</v>
      </c>
      <c r="G44" s="203">
        <v>0</v>
      </c>
      <c r="H44" s="203">
        <v>0</v>
      </c>
      <c r="I44" s="203">
        <v>0</v>
      </c>
      <c r="J44" s="203">
        <v>0</v>
      </c>
    </row>
    <row r="45" spans="1:10" ht="15" customHeight="1" x14ac:dyDescent="0.2">
      <c r="A45" s="190">
        <v>39</v>
      </c>
      <c r="B45" s="194" t="s">
        <v>222</v>
      </c>
      <c r="C45" s="203">
        <v>0</v>
      </c>
      <c r="D45" s="203">
        <v>0</v>
      </c>
      <c r="E45" s="203">
        <v>0</v>
      </c>
      <c r="F45" s="203">
        <v>0</v>
      </c>
      <c r="G45" s="203">
        <v>0</v>
      </c>
      <c r="H45" s="203">
        <v>0</v>
      </c>
      <c r="I45" s="203">
        <v>0</v>
      </c>
      <c r="J45" s="203">
        <v>0</v>
      </c>
    </row>
    <row r="46" spans="1:10" ht="15" customHeight="1" x14ac:dyDescent="0.2">
      <c r="A46" s="190">
        <v>40</v>
      </c>
      <c r="B46" s="194" t="s">
        <v>223</v>
      </c>
      <c r="C46" s="203">
        <v>0</v>
      </c>
      <c r="D46" s="203">
        <v>0</v>
      </c>
      <c r="E46" s="203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</row>
    <row r="47" spans="1:10" ht="15" customHeight="1" x14ac:dyDescent="0.2">
      <c r="A47" s="190">
        <v>41</v>
      </c>
      <c r="B47" s="194" t="s">
        <v>224</v>
      </c>
      <c r="C47" s="203">
        <v>0</v>
      </c>
      <c r="D47" s="203">
        <v>0</v>
      </c>
      <c r="E47" s="203">
        <v>0</v>
      </c>
      <c r="F47" s="203">
        <v>0</v>
      </c>
      <c r="G47" s="203">
        <v>0</v>
      </c>
      <c r="H47" s="203">
        <v>0</v>
      </c>
      <c r="I47" s="203">
        <v>0</v>
      </c>
      <c r="J47" s="203">
        <v>0</v>
      </c>
    </row>
    <row r="48" spans="1:10" ht="15" customHeight="1" x14ac:dyDescent="0.2">
      <c r="A48" s="190">
        <v>42</v>
      </c>
      <c r="B48" s="194" t="s">
        <v>225</v>
      </c>
      <c r="C48" s="203">
        <v>0</v>
      </c>
      <c r="D48" s="203">
        <v>0</v>
      </c>
      <c r="E48" s="203">
        <v>0</v>
      </c>
      <c r="F48" s="203">
        <v>0</v>
      </c>
      <c r="G48" s="203">
        <v>0</v>
      </c>
      <c r="H48" s="203">
        <v>0</v>
      </c>
      <c r="I48" s="203">
        <v>0</v>
      </c>
      <c r="J48" s="203">
        <v>0</v>
      </c>
    </row>
    <row r="49" spans="1:10" ht="15" customHeight="1" x14ac:dyDescent="0.2">
      <c r="A49" s="190">
        <v>43</v>
      </c>
      <c r="B49" s="205" t="s">
        <v>74</v>
      </c>
      <c r="C49" s="203">
        <v>0</v>
      </c>
      <c r="D49" s="203">
        <v>0</v>
      </c>
      <c r="E49" s="203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0</v>
      </c>
    </row>
    <row r="50" spans="1:10" ht="15" customHeight="1" x14ac:dyDescent="0.2">
      <c r="A50" s="190">
        <v>44</v>
      </c>
      <c r="B50" s="194" t="s">
        <v>226</v>
      </c>
      <c r="C50" s="203">
        <v>0</v>
      </c>
      <c r="D50" s="203">
        <v>0</v>
      </c>
      <c r="E50" s="203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</row>
    <row r="51" spans="1:10" ht="15" customHeight="1" x14ac:dyDescent="0.2">
      <c r="A51" s="190">
        <v>45</v>
      </c>
      <c r="B51" s="194" t="s">
        <v>227</v>
      </c>
      <c r="C51" s="203">
        <v>0</v>
      </c>
      <c r="D51" s="203">
        <v>0</v>
      </c>
      <c r="E51" s="203">
        <v>0</v>
      </c>
      <c r="F51" s="203">
        <v>0</v>
      </c>
      <c r="G51" s="203">
        <v>0</v>
      </c>
      <c r="H51" s="203">
        <v>0</v>
      </c>
      <c r="I51" s="203">
        <v>0</v>
      </c>
      <c r="J51" s="203">
        <v>0</v>
      </c>
    </row>
    <row r="52" spans="1:10" ht="15" customHeight="1" x14ac:dyDescent="0.2">
      <c r="A52" s="190">
        <v>46</v>
      </c>
      <c r="B52" s="194" t="s">
        <v>228</v>
      </c>
      <c r="C52" s="203">
        <v>0</v>
      </c>
      <c r="D52" s="203">
        <v>0</v>
      </c>
      <c r="E52" s="203">
        <v>0</v>
      </c>
      <c r="F52" s="203">
        <v>0</v>
      </c>
      <c r="G52" s="203">
        <v>0</v>
      </c>
      <c r="H52" s="203">
        <v>0</v>
      </c>
      <c r="I52" s="203">
        <v>0</v>
      </c>
      <c r="J52" s="203">
        <v>0</v>
      </c>
    </row>
    <row r="53" spans="1:10" ht="15" customHeight="1" x14ac:dyDescent="0.2">
      <c r="A53" s="190">
        <v>47</v>
      </c>
      <c r="B53" s="194" t="s">
        <v>78</v>
      </c>
      <c r="C53" s="203">
        <v>0</v>
      </c>
      <c r="D53" s="203">
        <v>0</v>
      </c>
      <c r="E53" s="203">
        <v>0</v>
      </c>
      <c r="F53" s="203">
        <v>0</v>
      </c>
      <c r="G53" s="221">
        <v>0</v>
      </c>
      <c r="H53" s="203">
        <v>0</v>
      </c>
      <c r="I53" s="221">
        <v>0</v>
      </c>
      <c r="J53" s="203">
        <v>0</v>
      </c>
    </row>
    <row r="54" spans="1:10" ht="15" customHeight="1" x14ac:dyDescent="0.2">
      <c r="A54" s="190">
        <v>48</v>
      </c>
      <c r="B54" s="194" t="s">
        <v>229</v>
      </c>
      <c r="C54" s="203">
        <v>0</v>
      </c>
      <c r="D54" s="203">
        <v>0</v>
      </c>
      <c r="E54" s="203">
        <v>0</v>
      </c>
      <c r="F54" s="203">
        <v>0</v>
      </c>
      <c r="G54" s="221">
        <v>0</v>
      </c>
      <c r="H54" s="203">
        <v>0</v>
      </c>
      <c r="I54" s="221">
        <v>0</v>
      </c>
      <c r="J54" s="203">
        <v>0</v>
      </c>
    </row>
    <row r="55" spans="1:10" ht="15" customHeight="1" x14ac:dyDescent="0.2">
      <c r="A55" s="190">
        <v>49</v>
      </c>
      <c r="B55" s="194" t="s">
        <v>77</v>
      </c>
      <c r="C55" s="203">
        <v>0</v>
      </c>
      <c r="D55" s="203">
        <v>0</v>
      </c>
      <c r="E55" s="203">
        <v>0</v>
      </c>
      <c r="F55" s="203">
        <v>0</v>
      </c>
      <c r="G55" s="221">
        <v>0</v>
      </c>
      <c r="H55" s="203">
        <v>0</v>
      </c>
      <c r="I55" s="221">
        <v>0</v>
      </c>
      <c r="J55" s="203">
        <v>0</v>
      </c>
    </row>
    <row r="56" spans="1:10" s="93" customFormat="1" ht="15" customHeight="1" x14ac:dyDescent="0.2">
      <c r="A56" s="195" t="s">
        <v>488</v>
      </c>
      <c r="B56" s="195" t="s">
        <v>408</v>
      </c>
      <c r="C56" s="206">
        <f>SUM(C34:C55)</f>
        <v>196221</v>
      </c>
      <c r="D56" s="206">
        <f t="shared" ref="D56:J56" si="1">SUM(D34:D55)</f>
        <v>45099.99</v>
      </c>
      <c r="E56" s="206">
        <f t="shared" si="1"/>
        <v>195901</v>
      </c>
      <c r="F56" s="206">
        <f t="shared" si="1"/>
        <v>44488.52</v>
      </c>
      <c r="G56" s="206">
        <f t="shared" si="1"/>
        <v>20761</v>
      </c>
      <c r="H56" s="206">
        <f t="shared" si="1"/>
        <v>5257.44</v>
      </c>
      <c r="I56" s="206">
        <f t="shared" si="1"/>
        <v>20761</v>
      </c>
      <c r="J56" s="206">
        <f t="shared" si="1"/>
        <v>5257.44</v>
      </c>
    </row>
    <row r="57" spans="1:10" ht="15" customHeight="1" x14ac:dyDescent="0.2">
      <c r="A57" s="190">
        <v>50</v>
      </c>
      <c r="B57" s="194" t="s">
        <v>47</v>
      </c>
      <c r="C57" s="203">
        <v>21706</v>
      </c>
      <c r="D57" s="203">
        <v>3219</v>
      </c>
      <c r="E57" s="203">
        <v>13000</v>
      </c>
      <c r="F57" s="203">
        <v>3576</v>
      </c>
      <c r="G57" s="221">
        <v>560</v>
      </c>
      <c r="H57" s="221">
        <v>58</v>
      </c>
      <c r="I57" s="221">
        <v>401</v>
      </c>
      <c r="J57" s="221">
        <v>145</v>
      </c>
    </row>
    <row r="58" spans="1:10" ht="15" customHeight="1" x14ac:dyDescent="0.2">
      <c r="A58" s="190">
        <v>51</v>
      </c>
      <c r="B58" s="194" t="s">
        <v>230</v>
      </c>
      <c r="C58" s="203">
        <v>38107</v>
      </c>
      <c r="D58" s="203">
        <v>2449</v>
      </c>
      <c r="E58" s="203">
        <v>15501</v>
      </c>
      <c r="F58" s="203">
        <v>4942</v>
      </c>
      <c r="G58" s="203">
        <v>873</v>
      </c>
      <c r="H58" s="203">
        <v>4.37</v>
      </c>
      <c r="I58" s="203">
        <v>1057</v>
      </c>
      <c r="J58" s="203">
        <v>448</v>
      </c>
    </row>
    <row r="59" spans="1:10" ht="15" customHeight="1" x14ac:dyDescent="0.2">
      <c r="A59" s="190">
        <v>52</v>
      </c>
      <c r="B59" s="194" t="s">
        <v>53</v>
      </c>
      <c r="C59" s="346">
        <v>42590</v>
      </c>
      <c r="D59" s="346">
        <v>8590</v>
      </c>
      <c r="E59" s="346">
        <v>17648</v>
      </c>
      <c r="F59" s="346">
        <v>16824.580000000002</v>
      </c>
      <c r="G59" s="346">
        <v>1991</v>
      </c>
      <c r="H59" s="346">
        <v>199.1</v>
      </c>
      <c r="I59" s="346">
        <v>102</v>
      </c>
      <c r="J59" s="346">
        <v>91.8</v>
      </c>
    </row>
    <row r="60" spans="1:10" s="345" customFormat="1" ht="15" customHeight="1" x14ac:dyDescent="0.2">
      <c r="A60" s="347" t="s">
        <v>488</v>
      </c>
      <c r="B60" s="84" t="s">
        <v>415</v>
      </c>
      <c r="C60" s="206">
        <f>SUM(C57:C59)</f>
        <v>102403</v>
      </c>
      <c r="D60" s="206">
        <f t="shared" ref="D60:J60" si="2">SUM(D57:D59)</f>
        <v>14258</v>
      </c>
      <c r="E60" s="206">
        <f t="shared" si="2"/>
        <v>46149</v>
      </c>
      <c r="F60" s="206">
        <f t="shared" si="2"/>
        <v>25342.58</v>
      </c>
      <c r="G60" s="206">
        <f t="shared" si="2"/>
        <v>3424</v>
      </c>
      <c r="H60" s="206">
        <f t="shared" si="2"/>
        <v>261.46999999999997</v>
      </c>
      <c r="I60" s="206">
        <f t="shared" si="2"/>
        <v>1560</v>
      </c>
      <c r="J60" s="206">
        <f t="shared" si="2"/>
        <v>684.8</v>
      </c>
    </row>
    <row r="61" spans="1:10" s="213" customFormat="1" ht="15" customHeight="1" x14ac:dyDescent="0.2">
      <c r="A61" s="72">
        <v>53</v>
      </c>
      <c r="B61" s="73" t="s">
        <v>409</v>
      </c>
      <c r="C61" s="203">
        <v>12144</v>
      </c>
      <c r="D61" s="203">
        <v>1268.6199999999999</v>
      </c>
      <c r="E61" s="203">
        <v>622</v>
      </c>
      <c r="F61" s="203">
        <v>273</v>
      </c>
      <c r="G61" s="221">
        <v>0</v>
      </c>
      <c r="H61" s="203">
        <v>0</v>
      </c>
      <c r="I61" s="221">
        <v>0</v>
      </c>
      <c r="J61" s="203">
        <v>0</v>
      </c>
    </row>
    <row r="62" spans="1:10" s="345" customFormat="1" ht="15" customHeight="1" x14ac:dyDescent="0.2">
      <c r="A62" s="347" t="s">
        <v>488</v>
      </c>
      <c r="B62" s="84" t="s">
        <v>410</v>
      </c>
      <c r="C62" s="206">
        <f>C61</f>
        <v>12144</v>
      </c>
      <c r="D62" s="206">
        <f t="shared" ref="D62:J62" si="3">D61</f>
        <v>1268.6199999999999</v>
      </c>
      <c r="E62" s="206">
        <f t="shared" si="3"/>
        <v>622</v>
      </c>
      <c r="F62" s="206">
        <f t="shared" si="3"/>
        <v>273</v>
      </c>
      <c r="G62" s="206">
        <f t="shared" si="3"/>
        <v>0</v>
      </c>
      <c r="H62" s="206">
        <f t="shared" si="3"/>
        <v>0</v>
      </c>
      <c r="I62" s="206">
        <f t="shared" si="3"/>
        <v>0</v>
      </c>
      <c r="J62" s="206">
        <f t="shared" si="3"/>
        <v>0</v>
      </c>
    </row>
    <row r="63" spans="1:10" s="345" customFormat="1" ht="15" customHeight="1" x14ac:dyDescent="0.2">
      <c r="A63" s="347" t="s">
        <v>488</v>
      </c>
      <c r="B63" s="84" t="s">
        <v>411</v>
      </c>
      <c r="C63" s="206">
        <f>C62+C60+C56+C33</f>
        <v>396320</v>
      </c>
      <c r="D63" s="206">
        <f t="shared" ref="D63:J63" si="4">D62+D60+D56+D33</f>
        <v>85583.3</v>
      </c>
      <c r="E63" s="206">
        <f t="shared" si="4"/>
        <v>293808</v>
      </c>
      <c r="F63" s="206">
        <f t="shared" si="4"/>
        <v>101410.17000000001</v>
      </c>
      <c r="G63" s="206">
        <f t="shared" si="4"/>
        <v>29395</v>
      </c>
      <c r="H63" s="206">
        <f t="shared" si="4"/>
        <v>6750.24</v>
      </c>
      <c r="I63" s="206">
        <f t="shared" si="4"/>
        <v>25341</v>
      </c>
      <c r="J63" s="206">
        <f t="shared" si="4"/>
        <v>8374.7799999999988</v>
      </c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conditionalFormatting sqref="C2">
    <cfRule type="cellIs" dxfId="39" priority="8" operator="lessThan">
      <formula>0</formula>
    </cfRule>
  </conditionalFormatting>
  <conditionalFormatting sqref="I2">
    <cfRule type="cellIs" dxfId="38" priority="7" operator="lessThan">
      <formula>0</formula>
    </cfRule>
  </conditionalFormatting>
  <conditionalFormatting sqref="B6">
    <cfRule type="duplicateValues" dxfId="37" priority="1"/>
  </conditionalFormatting>
  <conditionalFormatting sqref="B22">
    <cfRule type="duplicateValues" dxfId="36" priority="2"/>
  </conditionalFormatting>
  <conditionalFormatting sqref="B33:B34 B26:B30">
    <cfRule type="duplicateValues" dxfId="35" priority="3"/>
  </conditionalFormatting>
  <conditionalFormatting sqref="B52">
    <cfRule type="duplicateValues" dxfId="34" priority="4"/>
  </conditionalFormatting>
  <conditionalFormatting sqref="B56">
    <cfRule type="duplicateValues" dxfId="33" priority="5"/>
  </conditionalFormatting>
  <conditionalFormatting sqref="B58">
    <cfRule type="duplicateValues" dxfId="32" priority="6"/>
  </conditionalFormatting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RowHeight="15" x14ac:dyDescent="0.2"/>
  <cols>
    <col min="1" max="1" width="5.5703125" style="23" customWidth="1"/>
    <col min="2" max="2" width="25.42578125" style="12" customWidth="1"/>
    <col min="3" max="3" width="10.5703125" style="12" customWidth="1"/>
    <col min="4" max="4" width="9.140625" style="24"/>
    <col min="5" max="5" width="10.140625" style="12" customWidth="1"/>
    <col min="6" max="6" width="9.140625" style="24"/>
    <col min="7" max="7" width="9.85546875" style="12" bestFit="1" customWidth="1"/>
    <col min="8" max="8" width="9.140625" style="24"/>
    <col min="9" max="9" width="9.85546875" style="12" bestFit="1" customWidth="1"/>
    <col min="10" max="10" width="13" style="24" customWidth="1"/>
    <col min="11" max="16384" width="9.140625" style="12"/>
  </cols>
  <sheetData>
    <row r="1" spans="1:10" x14ac:dyDescent="0.2">
      <c r="A1" s="449" t="s">
        <v>102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10" x14ac:dyDescent="0.2">
      <c r="A2" s="13"/>
      <c r="B2" s="14" t="s">
        <v>112</v>
      </c>
      <c r="C2" s="449" t="s">
        <v>103</v>
      </c>
      <c r="D2" s="449"/>
      <c r="E2" s="449"/>
      <c r="F2" s="449"/>
      <c r="G2" s="449" t="s">
        <v>120</v>
      </c>
      <c r="H2" s="449"/>
      <c r="I2" s="449"/>
      <c r="J2" s="15" t="s">
        <v>104</v>
      </c>
    </row>
    <row r="3" spans="1:10" ht="34.5" customHeight="1" x14ac:dyDescent="0.2">
      <c r="A3" s="16" t="s">
        <v>105</v>
      </c>
      <c r="B3" s="17" t="s">
        <v>106</v>
      </c>
      <c r="C3" s="516" t="s">
        <v>107</v>
      </c>
      <c r="D3" s="516"/>
      <c r="E3" s="516" t="s">
        <v>108</v>
      </c>
      <c r="F3" s="516"/>
      <c r="G3" s="516" t="s">
        <v>107</v>
      </c>
      <c r="H3" s="516"/>
      <c r="I3" s="516" t="s">
        <v>108</v>
      </c>
      <c r="J3" s="516"/>
    </row>
    <row r="4" spans="1:10" ht="21.75" customHeight="1" x14ac:dyDescent="0.2">
      <c r="A4" s="18"/>
      <c r="B4" s="11"/>
      <c r="C4" s="18" t="s">
        <v>109</v>
      </c>
      <c r="D4" s="19" t="s">
        <v>17</v>
      </c>
      <c r="E4" s="18" t="s">
        <v>109</v>
      </c>
      <c r="F4" s="19" t="s">
        <v>17</v>
      </c>
      <c r="G4" s="18" t="s">
        <v>109</v>
      </c>
      <c r="H4" s="19" t="s">
        <v>17</v>
      </c>
      <c r="I4" s="18" t="s">
        <v>109</v>
      </c>
      <c r="J4" s="19" t="s">
        <v>17</v>
      </c>
    </row>
    <row r="5" spans="1:10" x14ac:dyDescent="0.2">
      <c r="A5" s="20">
        <v>1</v>
      </c>
      <c r="B5" s="21" t="s">
        <v>56</v>
      </c>
      <c r="C5" s="21">
        <v>5727</v>
      </c>
      <c r="D5" s="22">
        <v>94.81</v>
      </c>
      <c r="E5" s="21">
        <v>2617</v>
      </c>
      <c r="F5" s="22">
        <v>19.899999999999999</v>
      </c>
      <c r="G5" s="21">
        <v>10088</v>
      </c>
      <c r="H5" s="22">
        <v>116.24</v>
      </c>
      <c r="I5" s="21">
        <v>4563</v>
      </c>
      <c r="J5" s="22">
        <v>27.68</v>
      </c>
    </row>
    <row r="6" spans="1:10" x14ac:dyDescent="0.2">
      <c r="A6" s="20">
        <v>2</v>
      </c>
      <c r="B6" s="21" t="s">
        <v>57</v>
      </c>
      <c r="C6" s="21">
        <v>0</v>
      </c>
      <c r="D6" s="22">
        <v>0</v>
      </c>
      <c r="E6" s="21">
        <v>0</v>
      </c>
      <c r="F6" s="22">
        <v>0</v>
      </c>
      <c r="G6" s="21">
        <v>0</v>
      </c>
      <c r="H6" s="22">
        <v>0</v>
      </c>
      <c r="I6" s="21">
        <v>0</v>
      </c>
      <c r="J6" s="22">
        <v>0</v>
      </c>
    </row>
    <row r="7" spans="1:10" x14ac:dyDescent="0.2">
      <c r="A7" s="20">
        <v>3</v>
      </c>
      <c r="B7" s="21" t="s">
        <v>58</v>
      </c>
      <c r="C7" s="21">
        <v>2758</v>
      </c>
      <c r="D7" s="22">
        <v>30.78</v>
      </c>
      <c r="E7" s="21">
        <v>0</v>
      </c>
      <c r="F7" s="22">
        <v>0</v>
      </c>
      <c r="G7" s="21">
        <v>0</v>
      </c>
      <c r="H7" s="22">
        <v>0</v>
      </c>
      <c r="I7" s="21">
        <v>0</v>
      </c>
      <c r="J7" s="22">
        <v>0</v>
      </c>
    </row>
    <row r="8" spans="1:10" x14ac:dyDescent="0.2">
      <c r="A8" s="20">
        <v>4</v>
      </c>
      <c r="B8" s="21" t="s">
        <v>59</v>
      </c>
      <c r="C8" s="21">
        <v>2931</v>
      </c>
      <c r="D8" s="22">
        <v>58.68</v>
      </c>
      <c r="E8" s="21">
        <v>2931</v>
      </c>
      <c r="F8" s="22">
        <v>41.07</v>
      </c>
      <c r="G8" s="21">
        <v>2602</v>
      </c>
      <c r="H8" s="22">
        <v>42.44</v>
      </c>
      <c r="I8" s="21">
        <v>2602</v>
      </c>
      <c r="J8" s="22">
        <v>29.7</v>
      </c>
    </row>
    <row r="9" spans="1:10" x14ac:dyDescent="0.2">
      <c r="A9" s="20">
        <v>5</v>
      </c>
      <c r="B9" s="1" t="s">
        <v>60</v>
      </c>
      <c r="C9" s="21">
        <v>68</v>
      </c>
      <c r="D9" s="22">
        <v>1.1299999999999999</v>
      </c>
      <c r="E9" s="21">
        <v>0</v>
      </c>
      <c r="F9" s="22">
        <v>0</v>
      </c>
      <c r="G9" s="21">
        <v>0</v>
      </c>
      <c r="H9" s="22">
        <v>0</v>
      </c>
      <c r="I9" s="21">
        <v>0</v>
      </c>
      <c r="J9" s="22">
        <v>0</v>
      </c>
    </row>
    <row r="10" spans="1:10" x14ac:dyDescent="0.2">
      <c r="A10" s="20">
        <v>6</v>
      </c>
      <c r="B10" s="1" t="s">
        <v>61</v>
      </c>
      <c r="C10" s="21">
        <v>1509</v>
      </c>
      <c r="D10" s="22">
        <v>71.540000000000006</v>
      </c>
      <c r="E10" s="21">
        <v>767</v>
      </c>
      <c r="F10" s="22">
        <v>38.68</v>
      </c>
      <c r="G10" s="21">
        <v>6185</v>
      </c>
      <c r="H10" s="22">
        <v>228.82</v>
      </c>
      <c r="I10" s="21">
        <v>3278</v>
      </c>
      <c r="J10" s="22">
        <v>116.98</v>
      </c>
    </row>
    <row r="11" spans="1:10" x14ac:dyDescent="0.2">
      <c r="A11" s="20">
        <v>7</v>
      </c>
      <c r="B11" s="1" t="s">
        <v>49</v>
      </c>
      <c r="C11" s="21">
        <v>25</v>
      </c>
      <c r="D11" s="22">
        <v>0.13</v>
      </c>
      <c r="E11" s="21">
        <v>0</v>
      </c>
      <c r="F11" s="22">
        <v>0</v>
      </c>
      <c r="G11" s="21">
        <v>0</v>
      </c>
      <c r="H11" s="22">
        <v>0</v>
      </c>
      <c r="I11" s="21">
        <v>0</v>
      </c>
      <c r="J11" s="22">
        <v>0</v>
      </c>
    </row>
    <row r="12" spans="1:10" x14ac:dyDescent="0.2">
      <c r="A12" s="20">
        <v>8</v>
      </c>
      <c r="B12" s="1" t="s">
        <v>62</v>
      </c>
      <c r="C12" s="21">
        <v>5501</v>
      </c>
      <c r="D12" s="22">
        <v>128.26</v>
      </c>
      <c r="E12" s="21">
        <v>2872</v>
      </c>
      <c r="F12" s="22">
        <v>43.65</v>
      </c>
      <c r="G12" s="21">
        <v>2974</v>
      </c>
      <c r="H12" s="22">
        <v>37.9</v>
      </c>
      <c r="I12" s="21">
        <v>618</v>
      </c>
      <c r="J12" s="22">
        <v>10.25</v>
      </c>
    </row>
    <row r="13" spans="1:10" x14ac:dyDescent="0.2">
      <c r="A13" s="20">
        <v>9</v>
      </c>
      <c r="B13" s="1" t="s">
        <v>50</v>
      </c>
      <c r="C13" s="21">
        <v>10</v>
      </c>
      <c r="D13" s="22">
        <v>0.18</v>
      </c>
      <c r="E13" s="21">
        <v>0</v>
      </c>
      <c r="F13" s="22">
        <v>0</v>
      </c>
      <c r="G13" s="21">
        <v>0</v>
      </c>
      <c r="H13" s="22">
        <v>0</v>
      </c>
      <c r="I13" s="21">
        <v>0</v>
      </c>
      <c r="J13" s="22">
        <v>0</v>
      </c>
    </row>
    <row r="14" spans="1:10" x14ac:dyDescent="0.2">
      <c r="A14" s="20">
        <v>10</v>
      </c>
      <c r="B14" s="1" t="s">
        <v>82</v>
      </c>
      <c r="C14" s="21">
        <v>0</v>
      </c>
      <c r="D14" s="22">
        <v>0</v>
      </c>
      <c r="E14" s="21">
        <v>0</v>
      </c>
      <c r="F14" s="22">
        <v>0</v>
      </c>
      <c r="G14" s="21">
        <v>7</v>
      </c>
      <c r="H14" s="22">
        <v>0.11</v>
      </c>
      <c r="I14" s="21">
        <v>0</v>
      </c>
      <c r="J14" s="22">
        <v>0</v>
      </c>
    </row>
    <row r="15" spans="1:10" x14ac:dyDescent="0.2">
      <c r="A15" s="20">
        <v>11</v>
      </c>
      <c r="B15" s="1" t="s">
        <v>63</v>
      </c>
      <c r="C15" s="21">
        <v>0</v>
      </c>
      <c r="D15" s="22">
        <v>0</v>
      </c>
      <c r="E15" s="21">
        <v>0</v>
      </c>
      <c r="F15" s="22">
        <v>0</v>
      </c>
      <c r="G15" s="21">
        <v>0</v>
      </c>
      <c r="H15" s="22">
        <v>0</v>
      </c>
      <c r="I15" s="21">
        <v>0</v>
      </c>
      <c r="J15" s="22">
        <v>0</v>
      </c>
    </row>
    <row r="16" spans="1:10" x14ac:dyDescent="0.2">
      <c r="A16" s="20">
        <v>12</v>
      </c>
      <c r="B16" s="1" t="s">
        <v>64</v>
      </c>
      <c r="C16" s="21">
        <v>0</v>
      </c>
      <c r="D16" s="22">
        <v>0</v>
      </c>
      <c r="E16" s="21">
        <v>0</v>
      </c>
      <c r="F16" s="22">
        <v>0</v>
      </c>
      <c r="G16" s="21">
        <v>0</v>
      </c>
      <c r="H16" s="22">
        <v>0</v>
      </c>
      <c r="I16" s="21">
        <v>0</v>
      </c>
      <c r="J16" s="22">
        <v>0</v>
      </c>
    </row>
    <row r="17" spans="1:10" x14ac:dyDescent="0.2">
      <c r="A17" s="20">
        <v>13</v>
      </c>
      <c r="B17" s="1" t="s">
        <v>83</v>
      </c>
      <c r="C17" s="21">
        <v>11</v>
      </c>
      <c r="D17" s="22">
        <v>0.18</v>
      </c>
      <c r="E17" s="21">
        <v>0</v>
      </c>
      <c r="F17" s="22">
        <v>0</v>
      </c>
      <c r="G17" s="21">
        <v>0</v>
      </c>
      <c r="H17" s="22">
        <v>0</v>
      </c>
      <c r="I17" s="21">
        <v>0</v>
      </c>
      <c r="J17" s="22">
        <v>0</v>
      </c>
    </row>
    <row r="18" spans="1:10" x14ac:dyDescent="0.2">
      <c r="A18" s="20">
        <v>14</v>
      </c>
      <c r="B18" s="1" t="s">
        <v>84</v>
      </c>
      <c r="C18" s="21">
        <v>0</v>
      </c>
      <c r="D18" s="22">
        <v>0</v>
      </c>
      <c r="E18" s="21">
        <v>0</v>
      </c>
      <c r="F18" s="22">
        <v>0</v>
      </c>
      <c r="G18" s="21">
        <v>83</v>
      </c>
      <c r="H18" s="22">
        <v>6.91</v>
      </c>
      <c r="I18" s="21">
        <v>3</v>
      </c>
      <c r="J18" s="22">
        <v>0.55000000000000004</v>
      </c>
    </row>
    <row r="19" spans="1:10" x14ac:dyDescent="0.2">
      <c r="A19" s="20">
        <v>15</v>
      </c>
      <c r="B19" s="1" t="s">
        <v>65</v>
      </c>
      <c r="C19" s="21">
        <v>24061</v>
      </c>
      <c r="D19" s="22">
        <v>362.75</v>
      </c>
      <c r="E19" s="21">
        <v>7218</v>
      </c>
      <c r="F19" s="22">
        <v>108.82</v>
      </c>
      <c r="G19" s="21">
        <v>2712</v>
      </c>
      <c r="H19" s="22">
        <v>40.61</v>
      </c>
      <c r="I19" s="21">
        <v>542</v>
      </c>
      <c r="J19" s="22">
        <v>80.12</v>
      </c>
    </row>
    <row r="20" spans="1:10" x14ac:dyDescent="0.2">
      <c r="A20" s="20">
        <v>16</v>
      </c>
      <c r="B20" s="1" t="s">
        <v>66</v>
      </c>
      <c r="C20" s="21">
        <v>0</v>
      </c>
      <c r="D20" s="22">
        <v>0</v>
      </c>
      <c r="E20" s="21">
        <v>0</v>
      </c>
      <c r="F20" s="22">
        <v>0</v>
      </c>
      <c r="G20" s="21">
        <v>0</v>
      </c>
      <c r="H20" s="22">
        <v>0</v>
      </c>
      <c r="I20" s="21">
        <v>0</v>
      </c>
      <c r="J20" s="22">
        <v>0</v>
      </c>
    </row>
    <row r="21" spans="1:10" x14ac:dyDescent="0.2">
      <c r="A21" s="20">
        <v>17</v>
      </c>
      <c r="B21" s="1" t="s">
        <v>81</v>
      </c>
      <c r="C21" s="21">
        <v>299</v>
      </c>
      <c r="D21" s="22">
        <v>6.69</v>
      </c>
      <c r="E21" s="21">
        <v>120</v>
      </c>
      <c r="F21" s="22">
        <v>2.21</v>
      </c>
      <c r="G21" s="21">
        <v>619</v>
      </c>
      <c r="H21" s="22">
        <v>6.75</v>
      </c>
      <c r="I21" s="21">
        <v>264</v>
      </c>
      <c r="J21" s="22">
        <v>2.4500000000000002</v>
      </c>
    </row>
    <row r="22" spans="1:10" x14ac:dyDescent="0.2">
      <c r="A22" s="20">
        <v>18</v>
      </c>
      <c r="B22" s="1" t="s">
        <v>67</v>
      </c>
      <c r="C22" s="21">
        <v>153</v>
      </c>
      <c r="D22" s="22">
        <v>3.52</v>
      </c>
      <c r="E22" s="21">
        <v>0</v>
      </c>
      <c r="F22" s="22">
        <v>0</v>
      </c>
      <c r="G22" s="21">
        <v>0</v>
      </c>
      <c r="H22" s="22">
        <v>0</v>
      </c>
      <c r="I22" s="21">
        <v>0</v>
      </c>
      <c r="J22" s="22">
        <v>0</v>
      </c>
    </row>
    <row r="23" spans="1:10" x14ac:dyDescent="0.2">
      <c r="A23" s="20">
        <v>19</v>
      </c>
      <c r="B23" s="1" t="s">
        <v>68</v>
      </c>
      <c r="C23" s="21">
        <v>0</v>
      </c>
      <c r="D23" s="22">
        <v>0</v>
      </c>
      <c r="E23" s="21">
        <v>0</v>
      </c>
      <c r="F23" s="22">
        <v>0</v>
      </c>
      <c r="G23" s="21">
        <v>0</v>
      </c>
      <c r="H23" s="22">
        <v>0</v>
      </c>
      <c r="I23" s="21">
        <v>0</v>
      </c>
      <c r="J23" s="22">
        <v>0</v>
      </c>
    </row>
    <row r="24" spans="1:10" x14ac:dyDescent="0.2">
      <c r="A24" s="20">
        <v>20</v>
      </c>
      <c r="B24" s="21" t="s">
        <v>51</v>
      </c>
      <c r="C24" s="21">
        <v>0</v>
      </c>
      <c r="D24" s="22">
        <v>0</v>
      </c>
      <c r="E24" s="21">
        <v>0</v>
      </c>
      <c r="F24" s="22">
        <v>0</v>
      </c>
      <c r="G24" s="21">
        <v>0</v>
      </c>
      <c r="H24" s="22">
        <v>0</v>
      </c>
      <c r="I24" s="21">
        <v>0</v>
      </c>
      <c r="J24" s="22">
        <v>0</v>
      </c>
    </row>
    <row r="25" spans="1:10" x14ac:dyDescent="0.2">
      <c r="A25" s="20">
        <v>21</v>
      </c>
      <c r="B25" s="21" t="s">
        <v>110</v>
      </c>
      <c r="C25" s="21">
        <v>0</v>
      </c>
      <c r="D25" s="22">
        <v>0</v>
      </c>
      <c r="E25" s="21">
        <v>0</v>
      </c>
      <c r="F25" s="22">
        <v>0</v>
      </c>
      <c r="G25" s="21">
        <v>0</v>
      </c>
      <c r="H25" s="22">
        <v>0</v>
      </c>
      <c r="I25" s="21">
        <v>0</v>
      </c>
      <c r="J25" s="22">
        <v>0</v>
      </c>
    </row>
    <row r="26" spans="1:10" x14ac:dyDescent="0.2">
      <c r="A26" s="20">
        <v>22</v>
      </c>
      <c r="B26" s="21" t="s">
        <v>69</v>
      </c>
      <c r="C26" s="21">
        <v>0</v>
      </c>
      <c r="D26" s="22">
        <v>0</v>
      </c>
      <c r="E26" s="21">
        <v>0</v>
      </c>
      <c r="F26" s="22">
        <v>0</v>
      </c>
      <c r="G26" s="21">
        <v>0</v>
      </c>
      <c r="H26" s="22">
        <v>0</v>
      </c>
      <c r="I26" s="21">
        <v>0</v>
      </c>
      <c r="J26" s="22">
        <v>0</v>
      </c>
    </row>
    <row r="27" spans="1:10" x14ac:dyDescent="0.2">
      <c r="A27" s="20">
        <v>23</v>
      </c>
      <c r="B27" s="21" t="s">
        <v>70</v>
      </c>
      <c r="C27" s="21">
        <v>0</v>
      </c>
      <c r="D27" s="22">
        <v>0</v>
      </c>
      <c r="E27" s="21">
        <v>0</v>
      </c>
      <c r="F27" s="22">
        <v>0</v>
      </c>
      <c r="G27" s="21">
        <v>0</v>
      </c>
      <c r="H27" s="22">
        <v>0</v>
      </c>
      <c r="I27" s="21">
        <v>0</v>
      </c>
      <c r="J27" s="22">
        <v>0</v>
      </c>
    </row>
    <row r="28" spans="1:10" x14ac:dyDescent="0.2">
      <c r="A28" s="20">
        <v>24</v>
      </c>
      <c r="B28" s="21" t="s">
        <v>85</v>
      </c>
      <c r="C28" s="21">
        <v>0</v>
      </c>
      <c r="D28" s="22">
        <v>0</v>
      </c>
      <c r="E28" s="21">
        <v>0</v>
      </c>
      <c r="F28" s="22">
        <v>0</v>
      </c>
      <c r="G28" s="21">
        <v>0</v>
      </c>
      <c r="H28" s="22">
        <v>0</v>
      </c>
      <c r="I28" s="21">
        <v>0</v>
      </c>
      <c r="J28" s="22">
        <v>0</v>
      </c>
    </row>
    <row r="29" spans="1:10" x14ac:dyDescent="0.2">
      <c r="A29" s="20">
        <v>25</v>
      </c>
      <c r="B29" s="21" t="s">
        <v>86</v>
      </c>
      <c r="C29" s="21">
        <v>0</v>
      </c>
      <c r="D29" s="22">
        <v>0</v>
      </c>
      <c r="E29" s="21">
        <v>0</v>
      </c>
      <c r="F29" s="22">
        <v>0</v>
      </c>
      <c r="G29" s="21">
        <v>0</v>
      </c>
      <c r="H29" s="22">
        <v>0</v>
      </c>
      <c r="I29" s="21">
        <v>0</v>
      </c>
      <c r="J29" s="22">
        <v>0</v>
      </c>
    </row>
    <row r="30" spans="1:10" x14ac:dyDescent="0.2">
      <c r="A30" s="20">
        <v>26</v>
      </c>
      <c r="B30" s="21" t="s">
        <v>87</v>
      </c>
      <c r="C30" s="21">
        <v>0</v>
      </c>
      <c r="D30" s="22">
        <v>0</v>
      </c>
      <c r="E30" s="21">
        <v>0</v>
      </c>
      <c r="F30" s="22">
        <v>0</v>
      </c>
      <c r="G30" s="21">
        <v>0</v>
      </c>
      <c r="H30" s="22">
        <v>0</v>
      </c>
      <c r="I30" s="21">
        <v>0</v>
      </c>
      <c r="J30" s="22">
        <v>0</v>
      </c>
    </row>
    <row r="31" spans="1:10" x14ac:dyDescent="0.2">
      <c r="A31" s="20">
        <v>27</v>
      </c>
      <c r="B31" s="21" t="s">
        <v>88</v>
      </c>
      <c r="C31" s="21">
        <v>0</v>
      </c>
      <c r="D31" s="22">
        <v>0</v>
      </c>
      <c r="E31" s="21">
        <v>0</v>
      </c>
      <c r="F31" s="22">
        <v>0</v>
      </c>
      <c r="G31" s="21">
        <v>0</v>
      </c>
      <c r="H31" s="22">
        <v>0</v>
      </c>
      <c r="I31" s="21">
        <v>0</v>
      </c>
      <c r="J31" s="22">
        <v>0</v>
      </c>
    </row>
    <row r="32" spans="1:10" x14ac:dyDescent="0.2">
      <c r="A32" s="20">
        <v>28</v>
      </c>
      <c r="B32" s="21" t="s">
        <v>71</v>
      </c>
      <c r="C32" s="21">
        <v>0</v>
      </c>
      <c r="D32" s="22">
        <v>0</v>
      </c>
      <c r="E32" s="21">
        <v>0</v>
      </c>
      <c r="F32" s="22">
        <v>0</v>
      </c>
      <c r="G32" s="21">
        <v>411</v>
      </c>
      <c r="H32" s="22">
        <v>4.88</v>
      </c>
      <c r="I32" s="21">
        <v>0</v>
      </c>
      <c r="J32" s="22">
        <v>0</v>
      </c>
    </row>
    <row r="33" spans="1:10" x14ac:dyDescent="0.2">
      <c r="A33" s="20">
        <v>29</v>
      </c>
      <c r="B33" s="21" t="s">
        <v>48</v>
      </c>
      <c r="C33" s="21">
        <v>0</v>
      </c>
      <c r="D33" s="22">
        <v>0</v>
      </c>
      <c r="E33" s="21">
        <v>0</v>
      </c>
      <c r="F33" s="22">
        <v>0</v>
      </c>
      <c r="G33" s="21">
        <v>0</v>
      </c>
      <c r="H33" s="22">
        <v>0</v>
      </c>
      <c r="I33" s="21">
        <v>0</v>
      </c>
      <c r="J33" s="22">
        <v>0</v>
      </c>
    </row>
    <row r="34" spans="1:10" x14ac:dyDescent="0.2">
      <c r="A34" s="20">
        <v>30</v>
      </c>
      <c r="B34" s="21" t="s">
        <v>72</v>
      </c>
      <c r="C34" s="21">
        <v>9763</v>
      </c>
      <c r="D34" s="22">
        <v>30.76</v>
      </c>
      <c r="E34" s="21">
        <v>3425</v>
      </c>
      <c r="F34" s="22">
        <v>111.15</v>
      </c>
      <c r="G34" s="21">
        <v>1030</v>
      </c>
      <c r="H34" s="22">
        <v>3.49</v>
      </c>
      <c r="I34" s="21">
        <v>696</v>
      </c>
      <c r="J34" s="22">
        <v>34.729999999999997</v>
      </c>
    </row>
    <row r="35" spans="1:10" x14ac:dyDescent="0.2">
      <c r="A35" s="20">
        <v>31</v>
      </c>
      <c r="B35" s="21" t="s">
        <v>73</v>
      </c>
      <c r="C35" s="21">
        <v>0</v>
      </c>
      <c r="D35" s="22">
        <v>0</v>
      </c>
      <c r="E35" s="21">
        <v>0</v>
      </c>
      <c r="F35" s="22">
        <v>0</v>
      </c>
      <c r="G35" s="21">
        <v>0</v>
      </c>
      <c r="H35" s="22">
        <v>0</v>
      </c>
      <c r="I35" s="21">
        <v>0</v>
      </c>
      <c r="J35" s="22">
        <v>0</v>
      </c>
    </row>
    <row r="36" spans="1:10" x14ac:dyDescent="0.2">
      <c r="A36" s="20">
        <v>32</v>
      </c>
      <c r="B36" s="21" t="s">
        <v>89</v>
      </c>
      <c r="C36" s="21">
        <v>0</v>
      </c>
      <c r="D36" s="22">
        <v>0</v>
      </c>
      <c r="E36" s="21">
        <v>0</v>
      </c>
      <c r="F36" s="22">
        <v>0</v>
      </c>
      <c r="G36" s="21">
        <v>0</v>
      </c>
      <c r="H36" s="22">
        <v>0</v>
      </c>
      <c r="I36" s="21">
        <v>0</v>
      </c>
      <c r="J36" s="22">
        <v>0</v>
      </c>
    </row>
    <row r="37" spans="1:10" x14ac:dyDescent="0.2">
      <c r="A37" s="20">
        <v>33</v>
      </c>
      <c r="B37" s="21" t="s">
        <v>52</v>
      </c>
      <c r="C37" s="21">
        <v>0</v>
      </c>
      <c r="D37" s="22">
        <v>0</v>
      </c>
      <c r="E37" s="21">
        <v>0</v>
      </c>
      <c r="F37" s="22">
        <v>0</v>
      </c>
      <c r="G37" s="21">
        <v>0</v>
      </c>
      <c r="H37" s="22">
        <v>0</v>
      </c>
      <c r="I37" s="21">
        <v>0</v>
      </c>
      <c r="J37" s="22">
        <v>0</v>
      </c>
    </row>
    <row r="38" spans="1:10" x14ac:dyDescent="0.2">
      <c r="A38" s="20">
        <v>34</v>
      </c>
      <c r="B38" s="21" t="s">
        <v>90</v>
      </c>
      <c r="C38" s="21">
        <v>0</v>
      </c>
      <c r="D38" s="22">
        <v>0</v>
      </c>
      <c r="E38" s="21">
        <v>0</v>
      </c>
      <c r="F38" s="22">
        <v>0</v>
      </c>
      <c r="G38" s="21">
        <v>0</v>
      </c>
      <c r="H38" s="22">
        <v>0</v>
      </c>
      <c r="I38" s="21">
        <v>0</v>
      </c>
      <c r="J38" s="22">
        <v>0</v>
      </c>
    </row>
    <row r="39" spans="1:10" x14ac:dyDescent="0.2">
      <c r="A39" s="20">
        <v>35</v>
      </c>
      <c r="B39" s="21" t="s">
        <v>91</v>
      </c>
      <c r="C39" s="21">
        <v>0</v>
      </c>
      <c r="D39" s="22">
        <v>0</v>
      </c>
      <c r="E39" s="21">
        <v>0</v>
      </c>
      <c r="F39" s="22">
        <v>0</v>
      </c>
      <c r="G39" s="21">
        <v>0</v>
      </c>
      <c r="H39" s="22">
        <v>0</v>
      </c>
      <c r="I39" s="21">
        <v>0</v>
      </c>
      <c r="J39" s="22">
        <v>0</v>
      </c>
    </row>
    <row r="40" spans="1:10" x14ac:dyDescent="0.2">
      <c r="A40" s="20">
        <v>36</v>
      </c>
      <c r="B40" s="21" t="s">
        <v>74</v>
      </c>
      <c r="C40" s="21">
        <v>0</v>
      </c>
      <c r="D40" s="22">
        <v>0</v>
      </c>
      <c r="E40" s="21">
        <v>0</v>
      </c>
      <c r="F40" s="22">
        <v>0</v>
      </c>
      <c r="G40" s="21">
        <v>0</v>
      </c>
      <c r="H40" s="22">
        <v>0</v>
      </c>
      <c r="I40" s="21">
        <v>0</v>
      </c>
      <c r="J40" s="22">
        <v>0</v>
      </c>
    </row>
    <row r="41" spans="1:10" x14ac:dyDescent="0.2">
      <c r="A41" s="20">
        <v>37</v>
      </c>
      <c r="B41" s="21" t="s">
        <v>92</v>
      </c>
      <c r="C41" s="21">
        <v>0</v>
      </c>
      <c r="D41" s="22">
        <v>0</v>
      </c>
      <c r="E41" s="21">
        <v>0</v>
      </c>
      <c r="F41" s="22">
        <v>0</v>
      </c>
      <c r="G41" s="21">
        <v>0</v>
      </c>
      <c r="H41" s="22">
        <v>0</v>
      </c>
      <c r="I41" s="21">
        <v>0</v>
      </c>
      <c r="J41" s="22">
        <v>0</v>
      </c>
    </row>
    <row r="42" spans="1:10" x14ac:dyDescent="0.2">
      <c r="A42" s="20">
        <v>38</v>
      </c>
      <c r="B42" s="21" t="s">
        <v>75</v>
      </c>
      <c r="C42" s="21">
        <v>0</v>
      </c>
      <c r="D42" s="22">
        <v>0</v>
      </c>
      <c r="E42" s="21">
        <v>0</v>
      </c>
      <c r="F42" s="22">
        <v>0</v>
      </c>
      <c r="G42" s="21">
        <v>0</v>
      </c>
      <c r="H42" s="22">
        <v>0</v>
      </c>
      <c r="I42" s="21">
        <v>0</v>
      </c>
      <c r="J42" s="22">
        <v>0</v>
      </c>
    </row>
    <row r="43" spans="1:10" x14ac:dyDescent="0.2">
      <c r="A43" s="20">
        <v>39</v>
      </c>
      <c r="B43" s="21" t="s">
        <v>93</v>
      </c>
      <c r="C43" s="21">
        <v>0</v>
      </c>
      <c r="D43" s="22">
        <v>0</v>
      </c>
      <c r="E43" s="21">
        <v>0</v>
      </c>
      <c r="F43" s="22">
        <v>0</v>
      </c>
      <c r="G43" s="21">
        <v>0</v>
      </c>
      <c r="H43" s="22">
        <v>0</v>
      </c>
      <c r="I43" s="21">
        <v>0</v>
      </c>
      <c r="J43" s="22">
        <v>0</v>
      </c>
    </row>
    <row r="44" spans="1:10" x14ac:dyDescent="0.2">
      <c r="A44" s="20">
        <v>40</v>
      </c>
      <c r="B44" s="21" t="s">
        <v>94</v>
      </c>
      <c r="C44" s="21">
        <v>0</v>
      </c>
      <c r="D44" s="22">
        <v>0</v>
      </c>
      <c r="E44" s="21">
        <v>0</v>
      </c>
      <c r="F44" s="22">
        <v>0</v>
      </c>
      <c r="G44" s="21">
        <v>0</v>
      </c>
      <c r="H44" s="22">
        <v>0</v>
      </c>
      <c r="I44" s="21">
        <v>0</v>
      </c>
      <c r="J44" s="22">
        <v>0</v>
      </c>
    </row>
    <row r="45" spans="1:10" x14ac:dyDescent="0.2">
      <c r="A45" s="20">
        <v>41</v>
      </c>
      <c r="B45" s="21" t="s">
        <v>76</v>
      </c>
      <c r="C45" s="21">
        <v>0</v>
      </c>
      <c r="D45" s="22">
        <v>0</v>
      </c>
      <c r="E45" s="21">
        <v>0</v>
      </c>
      <c r="F45" s="22">
        <v>0</v>
      </c>
      <c r="G45" s="21">
        <v>0</v>
      </c>
      <c r="H45" s="22">
        <v>0</v>
      </c>
      <c r="I45" s="21">
        <v>0</v>
      </c>
      <c r="J45" s="22">
        <v>0</v>
      </c>
    </row>
    <row r="46" spans="1:10" x14ac:dyDescent="0.2">
      <c r="A46" s="20">
        <v>42</v>
      </c>
      <c r="B46" s="21" t="s">
        <v>77</v>
      </c>
      <c r="C46" s="21">
        <v>0</v>
      </c>
      <c r="D46" s="22">
        <v>0</v>
      </c>
      <c r="E46" s="21">
        <v>0</v>
      </c>
      <c r="F46" s="22">
        <v>0</v>
      </c>
      <c r="G46" s="21">
        <v>0</v>
      </c>
      <c r="H46" s="22">
        <v>0</v>
      </c>
      <c r="I46" s="21">
        <v>0</v>
      </c>
      <c r="J46" s="22">
        <v>0</v>
      </c>
    </row>
    <row r="47" spans="1:10" x14ac:dyDescent="0.2">
      <c r="A47" s="20">
        <v>43</v>
      </c>
      <c r="B47" s="21" t="s">
        <v>95</v>
      </c>
      <c r="C47" s="21">
        <v>0</v>
      </c>
      <c r="D47" s="22">
        <v>0</v>
      </c>
      <c r="E47" s="21">
        <v>0</v>
      </c>
      <c r="F47" s="22">
        <v>0</v>
      </c>
      <c r="G47" s="21">
        <v>0</v>
      </c>
      <c r="H47" s="22">
        <v>0</v>
      </c>
      <c r="I47" s="21">
        <v>0</v>
      </c>
      <c r="J47" s="22">
        <v>0</v>
      </c>
    </row>
    <row r="48" spans="1:10" x14ac:dyDescent="0.2">
      <c r="A48" s="20">
        <v>44</v>
      </c>
      <c r="B48" s="21" t="s">
        <v>78</v>
      </c>
      <c r="C48" s="21">
        <v>0</v>
      </c>
      <c r="D48" s="22">
        <v>0</v>
      </c>
      <c r="E48" s="21">
        <v>0</v>
      </c>
      <c r="F48" s="22">
        <v>0</v>
      </c>
      <c r="G48" s="21">
        <v>0</v>
      </c>
      <c r="H48" s="22">
        <v>0</v>
      </c>
      <c r="I48" s="21">
        <v>0</v>
      </c>
      <c r="J48" s="22">
        <v>0</v>
      </c>
    </row>
    <row r="49" spans="1:10" x14ac:dyDescent="0.2">
      <c r="A49" s="20">
        <v>45</v>
      </c>
      <c r="B49" s="21" t="s">
        <v>79</v>
      </c>
      <c r="C49" s="21">
        <v>0</v>
      </c>
      <c r="D49" s="22">
        <v>0</v>
      </c>
      <c r="E49" s="21">
        <v>0</v>
      </c>
      <c r="F49" s="22">
        <v>0</v>
      </c>
      <c r="G49" s="21">
        <v>0</v>
      </c>
      <c r="H49" s="22">
        <v>0</v>
      </c>
      <c r="I49" s="21">
        <v>0</v>
      </c>
      <c r="J49" s="22">
        <v>0</v>
      </c>
    </row>
    <row r="50" spans="1:10" x14ac:dyDescent="0.2">
      <c r="A50" s="20">
        <v>46</v>
      </c>
      <c r="B50" s="21" t="s">
        <v>96</v>
      </c>
      <c r="C50" s="21">
        <v>0</v>
      </c>
      <c r="D50" s="22">
        <v>0</v>
      </c>
      <c r="E50" s="21">
        <v>0</v>
      </c>
      <c r="F50" s="22">
        <v>0</v>
      </c>
      <c r="G50" s="21">
        <v>0</v>
      </c>
      <c r="H50" s="22">
        <v>0</v>
      </c>
      <c r="I50" s="21">
        <v>0</v>
      </c>
      <c r="J50" s="22">
        <v>0</v>
      </c>
    </row>
    <row r="51" spans="1:10" x14ac:dyDescent="0.2">
      <c r="A51" s="20">
        <v>47</v>
      </c>
      <c r="B51" s="21" t="s">
        <v>97</v>
      </c>
      <c r="C51" s="21">
        <v>0</v>
      </c>
      <c r="D51" s="22">
        <v>0</v>
      </c>
      <c r="E51" s="21">
        <v>0</v>
      </c>
      <c r="F51" s="22">
        <v>0</v>
      </c>
      <c r="G51" s="21">
        <v>0</v>
      </c>
      <c r="H51" s="22">
        <v>0</v>
      </c>
      <c r="I51" s="21">
        <v>0</v>
      </c>
      <c r="J51" s="22">
        <v>0</v>
      </c>
    </row>
    <row r="52" spans="1:10" x14ac:dyDescent="0.2">
      <c r="A52" s="20">
        <v>48</v>
      </c>
      <c r="B52" s="1" t="s">
        <v>53</v>
      </c>
      <c r="C52" s="21">
        <v>0</v>
      </c>
      <c r="D52" s="22">
        <v>0</v>
      </c>
      <c r="E52" s="21">
        <v>0</v>
      </c>
      <c r="F52" s="22">
        <v>0</v>
      </c>
      <c r="G52" s="21">
        <v>0</v>
      </c>
      <c r="H52" s="22">
        <v>0</v>
      </c>
      <c r="I52" s="21">
        <v>0</v>
      </c>
      <c r="J52" s="22">
        <v>0</v>
      </c>
    </row>
    <row r="53" spans="1:10" x14ac:dyDescent="0.2">
      <c r="A53" s="20">
        <v>49</v>
      </c>
      <c r="B53" s="21" t="s">
        <v>47</v>
      </c>
      <c r="C53" s="21">
        <v>974</v>
      </c>
      <c r="D53" s="22">
        <v>8.01</v>
      </c>
      <c r="E53" s="21">
        <v>974</v>
      </c>
      <c r="F53" s="22">
        <v>8.01</v>
      </c>
      <c r="G53" s="21">
        <v>6</v>
      </c>
      <c r="H53" s="22">
        <v>0.2</v>
      </c>
      <c r="I53" s="21">
        <v>6</v>
      </c>
      <c r="J53" s="22">
        <v>0.2</v>
      </c>
    </row>
    <row r="54" spans="1:10" x14ac:dyDescent="0.2">
      <c r="A54" s="20">
        <v>50</v>
      </c>
      <c r="B54" s="21" t="s">
        <v>80</v>
      </c>
      <c r="C54" s="21">
        <v>11242</v>
      </c>
      <c r="D54" s="22">
        <v>31.11</v>
      </c>
      <c r="E54" s="21">
        <v>0</v>
      </c>
      <c r="F54" s="22">
        <v>0</v>
      </c>
      <c r="G54" s="21">
        <v>0</v>
      </c>
      <c r="H54" s="22">
        <v>0</v>
      </c>
      <c r="I54" s="21">
        <v>0</v>
      </c>
      <c r="J54" s="22">
        <v>0</v>
      </c>
    </row>
    <row r="55" spans="1:10" x14ac:dyDescent="0.2">
      <c r="A55" s="20"/>
      <c r="B55" s="11" t="s">
        <v>111</v>
      </c>
      <c r="C55" s="11">
        <f t="shared" ref="C55:J55" si="0">SUM(C5:C54)</f>
        <v>65032</v>
      </c>
      <c r="D55" s="10">
        <f t="shared" si="0"/>
        <v>828.53000000000009</v>
      </c>
      <c r="E55" s="11">
        <f t="shared" si="0"/>
        <v>20924</v>
      </c>
      <c r="F55" s="10">
        <f t="shared" si="0"/>
        <v>373.49</v>
      </c>
      <c r="G55" s="11">
        <f t="shared" si="0"/>
        <v>26717</v>
      </c>
      <c r="H55" s="10">
        <f t="shared" si="0"/>
        <v>488.35</v>
      </c>
      <c r="I55" s="11">
        <f t="shared" si="0"/>
        <v>12572</v>
      </c>
      <c r="J55" s="10">
        <f t="shared" si="0"/>
        <v>302.66000000000003</v>
      </c>
    </row>
    <row r="57" spans="1:10" x14ac:dyDescent="0.2">
      <c r="B57" s="25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3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67" sqref="O67:P67"/>
    </sheetView>
  </sheetViews>
  <sheetFormatPr defaultRowHeight="12.75" x14ac:dyDescent="0.2"/>
  <cols>
    <col min="1" max="1" width="5.5703125" style="229" customWidth="1"/>
    <col min="2" max="2" width="24.140625" style="229" customWidth="1"/>
    <col min="3" max="3" width="9.28515625" style="231" bestFit="1" customWidth="1"/>
    <col min="4" max="4" width="11.42578125" style="231" bestFit="1" customWidth="1"/>
    <col min="5" max="5" width="9.28515625" style="231" bestFit="1" customWidth="1"/>
    <col min="6" max="6" width="11.42578125" style="231" bestFit="1" customWidth="1"/>
    <col min="7" max="7" width="9.28515625" style="231" bestFit="1" customWidth="1"/>
    <col min="8" max="8" width="10.42578125" style="231" bestFit="1" customWidth="1"/>
    <col min="9" max="9" width="9.28515625" style="231" bestFit="1" customWidth="1"/>
    <col min="10" max="10" width="11.42578125" style="231" bestFit="1" customWidth="1"/>
    <col min="11" max="11" width="9.28515625" style="231" bestFit="1" customWidth="1"/>
    <col min="12" max="12" width="9.42578125" style="231" bestFit="1" customWidth="1"/>
    <col min="13" max="15" width="9.28515625" style="231" bestFit="1" customWidth="1"/>
    <col min="16" max="16" width="11.42578125" style="231" bestFit="1" customWidth="1"/>
    <col min="17" max="16384" width="9.140625" style="229"/>
  </cols>
  <sheetData>
    <row r="1" spans="1:16" ht="15.75" customHeight="1" x14ac:dyDescent="0.2">
      <c r="A1" s="489" t="s">
        <v>494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16" ht="14.25" x14ac:dyDescent="0.2">
      <c r="A2" s="49" t="s">
        <v>118</v>
      </c>
      <c r="B2" s="49"/>
      <c r="C2" s="214"/>
      <c r="D2" s="214"/>
      <c r="E2" s="214"/>
      <c r="F2" s="214"/>
    </row>
    <row r="3" spans="1:16" ht="15" customHeight="1" x14ac:dyDescent="0.2">
      <c r="A3" s="34"/>
      <c r="B3" s="517" t="s">
        <v>12</v>
      </c>
      <c r="C3" s="517"/>
      <c r="D3" s="517"/>
      <c r="M3" s="518" t="s">
        <v>183</v>
      </c>
      <c r="N3" s="518"/>
    </row>
    <row r="4" spans="1:16" ht="13.5" x14ac:dyDescent="0.2">
      <c r="A4" s="494" t="s">
        <v>232</v>
      </c>
      <c r="B4" s="494" t="s">
        <v>3</v>
      </c>
      <c r="C4" s="480" t="s">
        <v>27</v>
      </c>
      <c r="D4" s="480"/>
      <c r="E4" s="480" t="s">
        <v>181</v>
      </c>
      <c r="F4" s="480"/>
      <c r="G4" s="480" t="s">
        <v>28</v>
      </c>
      <c r="H4" s="480"/>
      <c r="I4" s="480" t="s">
        <v>26</v>
      </c>
      <c r="J4" s="480"/>
      <c r="K4" s="480" t="s">
        <v>182</v>
      </c>
      <c r="L4" s="480"/>
      <c r="M4" s="480" t="s">
        <v>29</v>
      </c>
      <c r="N4" s="480"/>
      <c r="O4" s="480" t="s">
        <v>0</v>
      </c>
      <c r="P4" s="480"/>
    </row>
    <row r="5" spans="1:16" ht="13.5" x14ac:dyDescent="0.2">
      <c r="A5" s="494"/>
      <c r="B5" s="494"/>
      <c r="C5" s="212" t="s">
        <v>30</v>
      </c>
      <c r="D5" s="212" t="s">
        <v>17</v>
      </c>
      <c r="E5" s="212" t="s">
        <v>30</v>
      </c>
      <c r="F5" s="212" t="s">
        <v>17</v>
      </c>
      <c r="G5" s="212" t="s">
        <v>30</v>
      </c>
      <c r="H5" s="212" t="s">
        <v>17</v>
      </c>
      <c r="I5" s="212" t="s">
        <v>30</v>
      </c>
      <c r="J5" s="212" t="s">
        <v>17</v>
      </c>
      <c r="K5" s="212" t="s">
        <v>30</v>
      </c>
      <c r="L5" s="212" t="s">
        <v>17</v>
      </c>
      <c r="M5" s="212" t="s">
        <v>30</v>
      </c>
      <c r="N5" s="212" t="s">
        <v>17</v>
      </c>
      <c r="O5" s="212" t="s">
        <v>30</v>
      </c>
      <c r="P5" s="212" t="s">
        <v>17</v>
      </c>
    </row>
    <row r="6" spans="1:16" ht="15" customHeight="1" x14ac:dyDescent="0.2">
      <c r="A6" s="65">
        <v>1</v>
      </c>
      <c r="B6" s="66" t="s">
        <v>56</v>
      </c>
      <c r="C6" s="203">
        <v>5906</v>
      </c>
      <c r="D6" s="203">
        <v>10679</v>
      </c>
      <c r="E6" s="203">
        <v>9968</v>
      </c>
      <c r="F6" s="203">
        <v>17237</v>
      </c>
      <c r="G6" s="191">
        <v>63</v>
      </c>
      <c r="H6" s="191">
        <v>104</v>
      </c>
      <c r="I6" s="191">
        <v>875</v>
      </c>
      <c r="J6" s="191">
        <v>6024</v>
      </c>
      <c r="K6" s="191">
        <v>0</v>
      </c>
      <c r="L6" s="191">
        <v>0</v>
      </c>
      <c r="M6" s="191">
        <v>1968</v>
      </c>
      <c r="N6" s="191">
        <v>5278</v>
      </c>
      <c r="O6" s="191">
        <f>C6+E6+G6+I6+K6+M6</f>
        <v>18780</v>
      </c>
      <c r="P6" s="191">
        <f>D6+F6+H6+J6+L6+N6</f>
        <v>39322</v>
      </c>
    </row>
    <row r="7" spans="1:16" ht="15" customHeight="1" x14ac:dyDescent="0.2">
      <c r="A7" s="65">
        <v>2</v>
      </c>
      <c r="B7" s="66" t="s">
        <v>57</v>
      </c>
      <c r="C7" s="191">
        <v>36</v>
      </c>
      <c r="D7" s="191">
        <v>162.83000000000001</v>
      </c>
      <c r="E7" s="191">
        <v>528</v>
      </c>
      <c r="F7" s="191">
        <v>1171.79</v>
      </c>
      <c r="G7" s="191">
        <v>0</v>
      </c>
      <c r="H7" s="191">
        <v>0</v>
      </c>
      <c r="I7" s="191">
        <v>165</v>
      </c>
      <c r="J7" s="191">
        <v>717.11</v>
      </c>
      <c r="K7" s="191">
        <v>0</v>
      </c>
      <c r="L7" s="191">
        <v>0</v>
      </c>
      <c r="M7" s="191">
        <v>3</v>
      </c>
      <c r="N7" s="191">
        <v>1572.5</v>
      </c>
      <c r="O7" s="191">
        <f t="shared" ref="O7:O61" si="0">C7+E7+G7+I7+K7+M7</f>
        <v>732</v>
      </c>
      <c r="P7" s="191">
        <f t="shared" ref="P7:P61" si="1">D7+F7+H7+J7+L7+N7</f>
        <v>3624.23</v>
      </c>
    </row>
    <row r="8" spans="1:16" ht="15" customHeight="1" x14ac:dyDescent="0.2">
      <c r="A8" s="65">
        <v>3</v>
      </c>
      <c r="B8" s="66" t="s">
        <v>58</v>
      </c>
      <c r="C8" s="191">
        <v>380</v>
      </c>
      <c r="D8" s="191">
        <v>1560</v>
      </c>
      <c r="E8" s="191">
        <v>3895</v>
      </c>
      <c r="F8" s="191">
        <v>16283</v>
      </c>
      <c r="G8" s="191">
        <v>57</v>
      </c>
      <c r="H8" s="191">
        <v>173</v>
      </c>
      <c r="I8" s="191">
        <v>675</v>
      </c>
      <c r="J8" s="191">
        <v>26508</v>
      </c>
      <c r="K8" s="191">
        <v>2</v>
      </c>
      <c r="L8" s="191">
        <v>10</v>
      </c>
      <c r="M8" s="191">
        <v>2744</v>
      </c>
      <c r="N8" s="191">
        <v>54561</v>
      </c>
      <c r="O8" s="191">
        <f t="shared" si="0"/>
        <v>7753</v>
      </c>
      <c r="P8" s="191">
        <f t="shared" si="1"/>
        <v>99095</v>
      </c>
    </row>
    <row r="9" spans="1:16" ht="15" customHeight="1" x14ac:dyDescent="0.2">
      <c r="A9" s="65">
        <v>4</v>
      </c>
      <c r="B9" s="66" t="s">
        <v>59</v>
      </c>
      <c r="C9" s="191">
        <v>592</v>
      </c>
      <c r="D9" s="191">
        <v>1916</v>
      </c>
      <c r="E9" s="191">
        <v>17362</v>
      </c>
      <c r="F9" s="191">
        <v>36963</v>
      </c>
      <c r="G9" s="191">
        <v>22</v>
      </c>
      <c r="H9" s="191">
        <v>46</v>
      </c>
      <c r="I9" s="191">
        <v>777</v>
      </c>
      <c r="J9" s="191">
        <v>12228</v>
      </c>
      <c r="K9" s="191">
        <v>1</v>
      </c>
      <c r="L9" s="191">
        <v>2.2000000000000002</v>
      </c>
      <c r="M9" s="191">
        <v>161</v>
      </c>
      <c r="N9" s="191">
        <v>1501</v>
      </c>
      <c r="O9" s="191">
        <f t="shared" si="0"/>
        <v>18915</v>
      </c>
      <c r="P9" s="191">
        <f t="shared" si="1"/>
        <v>52656.2</v>
      </c>
    </row>
    <row r="10" spans="1:16" ht="15" customHeight="1" x14ac:dyDescent="0.2">
      <c r="A10" s="65">
        <v>5</v>
      </c>
      <c r="B10" s="66" t="s">
        <v>60</v>
      </c>
      <c r="C10" s="191">
        <v>302</v>
      </c>
      <c r="D10" s="191">
        <v>637</v>
      </c>
      <c r="E10" s="191">
        <v>3493</v>
      </c>
      <c r="F10" s="191">
        <v>7702</v>
      </c>
      <c r="G10" s="191">
        <v>181</v>
      </c>
      <c r="H10" s="191">
        <v>161</v>
      </c>
      <c r="I10" s="191">
        <v>4029</v>
      </c>
      <c r="J10" s="191">
        <v>7862</v>
      </c>
      <c r="K10" s="191">
        <v>0</v>
      </c>
      <c r="L10" s="191">
        <v>0</v>
      </c>
      <c r="M10" s="191">
        <v>931</v>
      </c>
      <c r="N10" s="191">
        <v>6023</v>
      </c>
      <c r="O10" s="191">
        <f t="shared" si="0"/>
        <v>8936</v>
      </c>
      <c r="P10" s="191">
        <f t="shared" si="1"/>
        <v>22385</v>
      </c>
    </row>
    <row r="11" spans="1:16" ht="15" customHeight="1" x14ac:dyDescent="0.2">
      <c r="A11" s="65">
        <v>6</v>
      </c>
      <c r="B11" s="199" t="s">
        <v>244</v>
      </c>
      <c r="C11" s="191">
        <v>2</v>
      </c>
      <c r="D11" s="191">
        <v>1.19</v>
      </c>
      <c r="E11" s="191">
        <v>31</v>
      </c>
      <c r="F11" s="191">
        <v>24.95</v>
      </c>
      <c r="G11" s="191">
        <v>0</v>
      </c>
      <c r="H11" s="191">
        <v>0</v>
      </c>
      <c r="I11" s="191">
        <v>3</v>
      </c>
      <c r="J11" s="191">
        <v>6</v>
      </c>
      <c r="K11" s="191">
        <v>0</v>
      </c>
      <c r="L11" s="191">
        <v>0</v>
      </c>
      <c r="M11" s="191">
        <v>9</v>
      </c>
      <c r="N11" s="191">
        <v>28.35</v>
      </c>
      <c r="O11" s="191">
        <f t="shared" si="0"/>
        <v>45</v>
      </c>
      <c r="P11" s="191">
        <f t="shared" si="1"/>
        <v>60.49</v>
      </c>
    </row>
    <row r="12" spans="1:16" ht="15" customHeight="1" x14ac:dyDescent="0.2">
      <c r="A12" s="65">
        <v>7</v>
      </c>
      <c r="B12" s="66" t="s">
        <v>61</v>
      </c>
      <c r="C12" s="191">
        <v>2011</v>
      </c>
      <c r="D12" s="191">
        <v>6428</v>
      </c>
      <c r="E12" s="191">
        <v>5680</v>
      </c>
      <c r="F12" s="191">
        <v>12405</v>
      </c>
      <c r="G12" s="191">
        <v>201</v>
      </c>
      <c r="H12" s="191">
        <v>1547</v>
      </c>
      <c r="I12" s="191">
        <v>1874</v>
      </c>
      <c r="J12" s="191">
        <v>5426</v>
      </c>
      <c r="K12" s="191">
        <v>304</v>
      </c>
      <c r="L12" s="191">
        <v>3450</v>
      </c>
      <c r="M12" s="191">
        <v>2070</v>
      </c>
      <c r="N12" s="191">
        <v>2503</v>
      </c>
      <c r="O12" s="191">
        <f t="shared" si="0"/>
        <v>12140</v>
      </c>
      <c r="P12" s="191">
        <f t="shared" si="1"/>
        <v>31759</v>
      </c>
    </row>
    <row r="13" spans="1:16" ht="15" customHeight="1" x14ac:dyDescent="0.2">
      <c r="A13" s="65">
        <v>8</v>
      </c>
      <c r="B13" s="66" t="s">
        <v>62</v>
      </c>
      <c r="C13" s="191">
        <v>1149</v>
      </c>
      <c r="D13" s="191">
        <v>694</v>
      </c>
      <c r="E13" s="191">
        <v>14570</v>
      </c>
      <c r="F13" s="191">
        <v>12854</v>
      </c>
      <c r="G13" s="191">
        <v>0</v>
      </c>
      <c r="H13" s="191">
        <v>0</v>
      </c>
      <c r="I13" s="191">
        <v>2568</v>
      </c>
      <c r="J13" s="191">
        <v>1305</v>
      </c>
      <c r="K13" s="191">
        <v>3</v>
      </c>
      <c r="L13" s="191">
        <v>17</v>
      </c>
      <c r="M13" s="191">
        <v>6713</v>
      </c>
      <c r="N13" s="191">
        <v>4906</v>
      </c>
      <c r="O13" s="191">
        <f t="shared" si="0"/>
        <v>25003</v>
      </c>
      <c r="P13" s="191">
        <f t="shared" si="1"/>
        <v>19776</v>
      </c>
    </row>
    <row r="14" spans="1:16" ht="15" customHeight="1" x14ac:dyDescent="0.2">
      <c r="A14" s="65">
        <v>9</v>
      </c>
      <c r="B14" s="66" t="s">
        <v>49</v>
      </c>
      <c r="C14" s="191">
        <v>132</v>
      </c>
      <c r="D14" s="191">
        <v>395</v>
      </c>
      <c r="E14" s="191">
        <v>1057</v>
      </c>
      <c r="F14" s="191">
        <v>3611</v>
      </c>
      <c r="G14" s="191">
        <v>15</v>
      </c>
      <c r="H14" s="191">
        <v>27</v>
      </c>
      <c r="I14" s="191">
        <v>184</v>
      </c>
      <c r="J14" s="191">
        <v>1006</v>
      </c>
      <c r="K14" s="191">
        <v>0</v>
      </c>
      <c r="L14" s="191">
        <v>0</v>
      </c>
      <c r="M14" s="191">
        <v>390</v>
      </c>
      <c r="N14" s="191">
        <v>3002</v>
      </c>
      <c r="O14" s="191">
        <f t="shared" si="0"/>
        <v>1778</v>
      </c>
      <c r="P14" s="191">
        <f t="shared" si="1"/>
        <v>8041</v>
      </c>
    </row>
    <row r="15" spans="1:16" ht="15" customHeight="1" x14ac:dyDescent="0.2">
      <c r="A15" s="65">
        <v>10</v>
      </c>
      <c r="B15" s="66" t="s">
        <v>50</v>
      </c>
      <c r="C15" s="191">
        <v>98</v>
      </c>
      <c r="D15" s="191">
        <v>330</v>
      </c>
      <c r="E15" s="191">
        <v>2075</v>
      </c>
      <c r="F15" s="191">
        <v>3829</v>
      </c>
      <c r="G15" s="191">
        <v>3</v>
      </c>
      <c r="H15" s="191">
        <v>1</v>
      </c>
      <c r="I15" s="191">
        <v>170</v>
      </c>
      <c r="J15" s="191">
        <v>820</v>
      </c>
      <c r="K15" s="191">
        <v>4</v>
      </c>
      <c r="L15" s="191">
        <v>7</v>
      </c>
      <c r="M15" s="191">
        <v>574</v>
      </c>
      <c r="N15" s="191">
        <v>2026</v>
      </c>
      <c r="O15" s="191">
        <f t="shared" si="0"/>
        <v>2924</v>
      </c>
      <c r="P15" s="191">
        <f t="shared" si="1"/>
        <v>7013</v>
      </c>
    </row>
    <row r="16" spans="1:16" ht="15" customHeight="1" x14ac:dyDescent="0.2">
      <c r="A16" s="65">
        <v>11</v>
      </c>
      <c r="B16" s="66" t="s">
        <v>82</v>
      </c>
      <c r="C16" s="191">
        <v>151</v>
      </c>
      <c r="D16" s="191">
        <v>9358</v>
      </c>
      <c r="E16" s="191">
        <v>5388</v>
      </c>
      <c r="F16" s="191">
        <v>4699</v>
      </c>
      <c r="G16" s="191">
        <v>7</v>
      </c>
      <c r="H16" s="191">
        <v>18</v>
      </c>
      <c r="I16" s="191">
        <v>226</v>
      </c>
      <c r="J16" s="191">
        <v>2537</v>
      </c>
      <c r="K16" s="191">
        <v>4</v>
      </c>
      <c r="L16" s="191">
        <v>0.05</v>
      </c>
      <c r="M16" s="191">
        <v>889</v>
      </c>
      <c r="N16" s="191">
        <v>13042</v>
      </c>
      <c r="O16" s="191">
        <f t="shared" si="0"/>
        <v>6665</v>
      </c>
      <c r="P16" s="191">
        <f t="shared" si="1"/>
        <v>29654.05</v>
      </c>
    </row>
    <row r="17" spans="1:16" ht="15" customHeight="1" x14ac:dyDescent="0.2">
      <c r="A17" s="65">
        <v>12</v>
      </c>
      <c r="B17" s="66" t="s">
        <v>63</v>
      </c>
      <c r="C17" s="191">
        <v>52</v>
      </c>
      <c r="D17" s="191">
        <v>64.319999999999993</v>
      </c>
      <c r="E17" s="191">
        <v>67</v>
      </c>
      <c r="F17" s="191">
        <v>79.42</v>
      </c>
      <c r="G17" s="191">
        <v>11</v>
      </c>
      <c r="H17" s="191">
        <v>9.2799999999999994</v>
      </c>
      <c r="I17" s="191">
        <v>41</v>
      </c>
      <c r="J17" s="191">
        <v>46.17</v>
      </c>
      <c r="K17" s="191">
        <v>0</v>
      </c>
      <c r="L17" s="191">
        <v>0</v>
      </c>
      <c r="M17" s="191">
        <v>0</v>
      </c>
      <c r="N17" s="191">
        <v>0</v>
      </c>
      <c r="O17" s="191">
        <f t="shared" si="0"/>
        <v>171</v>
      </c>
      <c r="P17" s="191">
        <f t="shared" si="1"/>
        <v>199.19</v>
      </c>
    </row>
    <row r="18" spans="1:16" ht="15" customHeight="1" x14ac:dyDescent="0.2">
      <c r="A18" s="65">
        <v>13</v>
      </c>
      <c r="B18" s="66" t="s">
        <v>64</v>
      </c>
      <c r="C18" s="191">
        <v>38</v>
      </c>
      <c r="D18" s="191">
        <v>71.459999999999994</v>
      </c>
      <c r="E18" s="191">
        <v>449</v>
      </c>
      <c r="F18" s="191">
        <v>765.34</v>
      </c>
      <c r="G18" s="191">
        <v>1</v>
      </c>
      <c r="H18" s="191">
        <v>1.27</v>
      </c>
      <c r="I18" s="191">
        <v>59</v>
      </c>
      <c r="J18" s="191">
        <v>186.45</v>
      </c>
      <c r="K18" s="191">
        <v>0</v>
      </c>
      <c r="L18" s="191">
        <v>0</v>
      </c>
      <c r="M18" s="191">
        <v>14</v>
      </c>
      <c r="N18" s="191">
        <v>49.88</v>
      </c>
      <c r="O18" s="191">
        <f t="shared" si="0"/>
        <v>561</v>
      </c>
      <c r="P18" s="191">
        <f t="shared" si="1"/>
        <v>1074.4000000000001</v>
      </c>
    </row>
    <row r="19" spans="1:16" ht="15" customHeight="1" x14ac:dyDescent="0.2">
      <c r="A19" s="65">
        <v>14</v>
      </c>
      <c r="B19" s="100" t="s">
        <v>208</v>
      </c>
      <c r="C19" s="191">
        <v>95</v>
      </c>
      <c r="D19" s="191">
        <v>371.82</v>
      </c>
      <c r="E19" s="191">
        <v>1523</v>
      </c>
      <c r="F19" s="191">
        <v>3669.61</v>
      </c>
      <c r="G19" s="191">
        <v>8</v>
      </c>
      <c r="H19" s="191">
        <v>19.03</v>
      </c>
      <c r="I19" s="191">
        <v>258</v>
      </c>
      <c r="J19" s="191">
        <v>1073.75</v>
      </c>
      <c r="K19" s="191">
        <v>0</v>
      </c>
      <c r="L19" s="191">
        <v>0</v>
      </c>
      <c r="M19" s="191">
        <v>81</v>
      </c>
      <c r="N19" s="191">
        <v>780.47</v>
      </c>
      <c r="O19" s="191">
        <f t="shared" si="0"/>
        <v>1965</v>
      </c>
      <c r="P19" s="191">
        <f t="shared" si="1"/>
        <v>5914.6800000000012</v>
      </c>
    </row>
    <row r="20" spans="1:16" ht="15" customHeight="1" x14ac:dyDescent="0.2">
      <c r="A20" s="65">
        <v>15</v>
      </c>
      <c r="B20" s="66" t="s">
        <v>209</v>
      </c>
      <c r="C20" s="191">
        <v>62</v>
      </c>
      <c r="D20" s="191">
        <v>24</v>
      </c>
      <c r="E20" s="191">
        <v>855</v>
      </c>
      <c r="F20" s="191">
        <v>824</v>
      </c>
      <c r="G20" s="191">
        <v>0</v>
      </c>
      <c r="H20" s="191">
        <v>0</v>
      </c>
      <c r="I20" s="191">
        <v>2027</v>
      </c>
      <c r="J20" s="191">
        <v>8593</v>
      </c>
      <c r="K20" s="191">
        <v>0</v>
      </c>
      <c r="L20" s="191">
        <v>0</v>
      </c>
      <c r="M20" s="191">
        <v>36</v>
      </c>
      <c r="N20" s="191">
        <v>72</v>
      </c>
      <c r="O20" s="191">
        <f t="shared" si="0"/>
        <v>2980</v>
      </c>
      <c r="P20" s="191">
        <f t="shared" si="1"/>
        <v>9513</v>
      </c>
    </row>
    <row r="21" spans="1:16" ht="15" customHeight="1" x14ac:dyDescent="0.2">
      <c r="A21" s="65">
        <v>16</v>
      </c>
      <c r="B21" s="66" t="s">
        <v>65</v>
      </c>
      <c r="C21" s="191">
        <v>494</v>
      </c>
      <c r="D21" s="191">
        <v>1208</v>
      </c>
      <c r="E21" s="191">
        <v>6508</v>
      </c>
      <c r="F21" s="191">
        <v>17009</v>
      </c>
      <c r="G21" s="191">
        <v>33</v>
      </c>
      <c r="H21" s="191">
        <v>38</v>
      </c>
      <c r="I21" s="191">
        <v>896</v>
      </c>
      <c r="J21" s="191">
        <v>9970.25</v>
      </c>
      <c r="K21" s="191">
        <v>5</v>
      </c>
      <c r="L21" s="191">
        <v>2.75</v>
      </c>
      <c r="M21" s="191">
        <v>1601</v>
      </c>
      <c r="N21" s="191">
        <v>9961</v>
      </c>
      <c r="O21" s="191">
        <f t="shared" si="0"/>
        <v>9537</v>
      </c>
      <c r="P21" s="191">
        <f t="shared" si="1"/>
        <v>38189</v>
      </c>
    </row>
    <row r="22" spans="1:16" ht="15" customHeight="1" x14ac:dyDescent="0.2">
      <c r="A22" s="65">
        <v>17</v>
      </c>
      <c r="B22" s="100" t="s">
        <v>70</v>
      </c>
      <c r="C22" s="191">
        <v>18</v>
      </c>
      <c r="D22" s="191">
        <v>48.14</v>
      </c>
      <c r="E22" s="191">
        <v>47</v>
      </c>
      <c r="F22" s="191">
        <v>235.41</v>
      </c>
      <c r="G22" s="191">
        <v>0</v>
      </c>
      <c r="H22" s="191">
        <v>0</v>
      </c>
      <c r="I22" s="191">
        <v>7</v>
      </c>
      <c r="J22" s="191">
        <v>21</v>
      </c>
      <c r="K22" s="191">
        <v>0</v>
      </c>
      <c r="L22" s="191">
        <v>0</v>
      </c>
      <c r="M22" s="191">
        <v>8</v>
      </c>
      <c r="N22" s="191">
        <v>48.7</v>
      </c>
      <c r="O22" s="191">
        <f t="shared" si="0"/>
        <v>80</v>
      </c>
      <c r="P22" s="191">
        <f t="shared" si="1"/>
        <v>353.25</v>
      </c>
    </row>
    <row r="23" spans="1:16" ht="15" customHeight="1" x14ac:dyDescent="0.2">
      <c r="A23" s="65">
        <v>18</v>
      </c>
      <c r="B23" s="66" t="s">
        <v>210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f t="shared" si="0"/>
        <v>0</v>
      </c>
      <c r="P23" s="191">
        <f t="shared" si="1"/>
        <v>0</v>
      </c>
    </row>
    <row r="24" spans="1:16" ht="15" customHeight="1" x14ac:dyDescent="0.2">
      <c r="A24" s="65">
        <v>19</v>
      </c>
      <c r="B24" s="101" t="s">
        <v>211</v>
      </c>
      <c r="C24" s="191">
        <v>10</v>
      </c>
      <c r="D24" s="191">
        <v>90</v>
      </c>
      <c r="E24" s="191">
        <v>80</v>
      </c>
      <c r="F24" s="191">
        <v>263</v>
      </c>
      <c r="G24" s="191">
        <v>0</v>
      </c>
      <c r="H24" s="191">
        <v>0</v>
      </c>
      <c r="I24" s="191">
        <v>10</v>
      </c>
      <c r="J24" s="191">
        <v>70</v>
      </c>
      <c r="K24" s="191">
        <v>0</v>
      </c>
      <c r="L24" s="191">
        <v>0</v>
      </c>
      <c r="M24" s="191">
        <v>12</v>
      </c>
      <c r="N24" s="191">
        <v>50</v>
      </c>
      <c r="O24" s="191">
        <f t="shared" si="0"/>
        <v>112</v>
      </c>
      <c r="P24" s="191">
        <f t="shared" si="1"/>
        <v>473</v>
      </c>
    </row>
    <row r="25" spans="1:16" ht="15" customHeight="1" x14ac:dyDescent="0.2">
      <c r="A25" s="65">
        <v>20</v>
      </c>
      <c r="B25" s="66" t="s">
        <v>212</v>
      </c>
      <c r="C25" s="191">
        <v>21</v>
      </c>
      <c r="D25" s="191">
        <v>501</v>
      </c>
      <c r="E25" s="191">
        <v>15</v>
      </c>
      <c r="F25" s="191">
        <v>200</v>
      </c>
      <c r="G25" s="191">
        <v>0</v>
      </c>
      <c r="H25" s="191">
        <v>0</v>
      </c>
      <c r="I25" s="191">
        <v>6</v>
      </c>
      <c r="J25" s="191">
        <v>462</v>
      </c>
      <c r="K25" s="191">
        <v>0</v>
      </c>
      <c r="L25" s="191">
        <v>0</v>
      </c>
      <c r="M25" s="191">
        <v>0</v>
      </c>
      <c r="N25" s="191">
        <v>0</v>
      </c>
      <c r="O25" s="191">
        <f t="shared" si="0"/>
        <v>42</v>
      </c>
      <c r="P25" s="191">
        <f t="shared" si="1"/>
        <v>1163</v>
      </c>
    </row>
    <row r="26" spans="1:16" ht="15" customHeight="1" x14ac:dyDescent="0.2">
      <c r="A26" s="65">
        <v>21</v>
      </c>
      <c r="B26" s="66" t="s">
        <v>213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f t="shared" si="0"/>
        <v>0</v>
      </c>
      <c r="P26" s="191">
        <f t="shared" si="1"/>
        <v>0</v>
      </c>
    </row>
    <row r="27" spans="1:16" ht="15" customHeight="1" x14ac:dyDescent="0.2">
      <c r="A27" s="65">
        <v>22</v>
      </c>
      <c r="B27" s="66" t="s">
        <v>71</v>
      </c>
      <c r="C27" s="191">
        <v>7263</v>
      </c>
      <c r="D27" s="191">
        <v>4714</v>
      </c>
      <c r="E27" s="191">
        <v>68314</v>
      </c>
      <c r="F27" s="191">
        <v>105173</v>
      </c>
      <c r="G27" s="191">
        <v>3651</v>
      </c>
      <c r="H27" s="191">
        <v>4954</v>
      </c>
      <c r="I27" s="191">
        <v>15589</v>
      </c>
      <c r="J27" s="191">
        <v>33013</v>
      </c>
      <c r="K27" s="191">
        <v>205</v>
      </c>
      <c r="L27" s="191">
        <v>735</v>
      </c>
      <c r="M27" s="191">
        <v>13239</v>
      </c>
      <c r="N27" s="191">
        <v>31025</v>
      </c>
      <c r="O27" s="191">
        <f t="shared" si="0"/>
        <v>108261</v>
      </c>
      <c r="P27" s="191">
        <f t="shared" si="1"/>
        <v>179614</v>
      </c>
    </row>
    <row r="28" spans="1:16" ht="15" customHeight="1" x14ac:dyDescent="0.2">
      <c r="A28" s="65">
        <v>23</v>
      </c>
      <c r="B28" s="66" t="s">
        <v>66</v>
      </c>
      <c r="C28" s="191">
        <v>86</v>
      </c>
      <c r="D28" s="191">
        <v>256</v>
      </c>
      <c r="E28" s="191">
        <v>2083</v>
      </c>
      <c r="F28" s="191">
        <v>3909</v>
      </c>
      <c r="G28" s="191">
        <v>3</v>
      </c>
      <c r="H28" s="191">
        <v>150</v>
      </c>
      <c r="I28" s="191">
        <v>102</v>
      </c>
      <c r="J28" s="191">
        <v>1717</v>
      </c>
      <c r="K28" s="191">
        <v>0</v>
      </c>
      <c r="L28" s="191">
        <v>0</v>
      </c>
      <c r="M28" s="191">
        <v>460</v>
      </c>
      <c r="N28" s="191">
        <v>1641</v>
      </c>
      <c r="O28" s="191">
        <f t="shared" si="0"/>
        <v>2734</v>
      </c>
      <c r="P28" s="191">
        <f t="shared" si="1"/>
        <v>7673</v>
      </c>
    </row>
    <row r="29" spans="1:16" ht="15" customHeight="1" x14ac:dyDescent="0.2">
      <c r="A29" s="65">
        <v>24</v>
      </c>
      <c r="B29" s="66" t="s">
        <v>214</v>
      </c>
      <c r="C29" s="191">
        <v>783</v>
      </c>
      <c r="D29" s="191">
        <v>782</v>
      </c>
      <c r="E29" s="191">
        <v>7623</v>
      </c>
      <c r="F29" s="191">
        <v>4852</v>
      </c>
      <c r="G29" s="191">
        <v>0</v>
      </c>
      <c r="H29" s="191">
        <v>0</v>
      </c>
      <c r="I29" s="191">
        <v>1569</v>
      </c>
      <c r="J29" s="191">
        <v>2152</v>
      </c>
      <c r="K29" s="191">
        <v>0</v>
      </c>
      <c r="L29" s="191">
        <v>0</v>
      </c>
      <c r="M29" s="191">
        <v>14938</v>
      </c>
      <c r="N29" s="191">
        <v>11721</v>
      </c>
      <c r="O29" s="191">
        <f t="shared" si="0"/>
        <v>24913</v>
      </c>
      <c r="P29" s="191">
        <f t="shared" si="1"/>
        <v>19507</v>
      </c>
    </row>
    <row r="30" spans="1:16" ht="15" customHeight="1" x14ac:dyDescent="0.2">
      <c r="A30" s="65">
        <v>25</v>
      </c>
      <c r="B30" s="66" t="s">
        <v>67</v>
      </c>
      <c r="C30" s="191">
        <v>363</v>
      </c>
      <c r="D30" s="191">
        <v>1385.32</v>
      </c>
      <c r="E30" s="191">
        <v>7885</v>
      </c>
      <c r="F30" s="191">
        <v>12758.12</v>
      </c>
      <c r="G30" s="191">
        <v>82</v>
      </c>
      <c r="H30" s="191">
        <v>107.32</v>
      </c>
      <c r="I30" s="191">
        <v>532</v>
      </c>
      <c r="J30" s="191">
        <v>6152.1</v>
      </c>
      <c r="K30" s="191">
        <v>0</v>
      </c>
      <c r="L30" s="191">
        <v>0</v>
      </c>
      <c r="M30" s="191">
        <v>1911</v>
      </c>
      <c r="N30" s="191">
        <v>18527.12</v>
      </c>
      <c r="O30" s="191">
        <f t="shared" si="0"/>
        <v>10773</v>
      </c>
      <c r="P30" s="191">
        <f t="shared" si="1"/>
        <v>38929.979999999996</v>
      </c>
    </row>
    <row r="31" spans="1:16" ht="15" customHeight="1" x14ac:dyDescent="0.2">
      <c r="A31" s="65">
        <v>26</v>
      </c>
      <c r="B31" s="199" t="s">
        <v>68</v>
      </c>
      <c r="C31" s="191">
        <v>1</v>
      </c>
      <c r="D31" s="191">
        <v>2</v>
      </c>
      <c r="E31" s="191">
        <v>147</v>
      </c>
      <c r="F31" s="191">
        <v>532</v>
      </c>
      <c r="G31" s="191">
        <v>0</v>
      </c>
      <c r="H31" s="191">
        <v>0</v>
      </c>
      <c r="I31" s="191">
        <v>2</v>
      </c>
      <c r="J31" s="191">
        <v>4</v>
      </c>
      <c r="K31" s="191">
        <v>0</v>
      </c>
      <c r="L31" s="191">
        <v>0</v>
      </c>
      <c r="M31" s="191">
        <v>0</v>
      </c>
      <c r="N31" s="191">
        <v>0</v>
      </c>
      <c r="O31" s="191">
        <f t="shared" si="0"/>
        <v>150</v>
      </c>
      <c r="P31" s="191">
        <f t="shared" si="1"/>
        <v>538</v>
      </c>
    </row>
    <row r="32" spans="1:16" ht="15" customHeight="1" x14ac:dyDescent="0.2">
      <c r="A32" s="65">
        <v>27</v>
      </c>
      <c r="B32" s="66" t="s">
        <v>51</v>
      </c>
      <c r="C32" s="191">
        <v>187</v>
      </c>
      <c r="D32" s="191">
        <v>609</v>
      </c>
      <c r="E32" s="191">
        <v>511</v>
      </c>
      <c r="F32" s="191">
        <v>1866</v>
      </c>
      <c r="G32" s="191">
        <v>6</v>
      </c>
      <c r="H32" s="191">
        <v>5.46</v>
      </c>
      <c r="I32" s="191">
        <v>272</v>
      </c>
      <c r="J32" s="191">
        <v>1259</v>
      </c>
      <c r="K32" s="191">
        <v>1</v>
      </c>
      <c r="L32" s="191">
        <v>1.26</v>
      </c>
      <c r="M32" s="191">
        <v>764</v>
      </c>
      <c r="N32" s="191">
        <v>3621</v>
      </c>
      <c r="O32" s="191">
        <f t="shared" si="0"/>
        <v>1741</v>
      </c>
      <c r="P32" s="191">
        <f t="shared" si="1"/>
        <v>7361.72</v>
      </c>
    </row>
    <row r="33" spans="1:16" s="342" customFormat="1" ht="15" customHeight="1" x14ac:dyDescent="0.2">
      <c r="A33" s="337" t="s">
        <v>488</v>
      </c>
      <c r="B33" s="68" t="s">
        <v>407</v>
      </c>
      <c r="C33" s="193">
        <f>SUM(C6:C32)</f>
        <v>20232</v>
      </c>
      <c r="D33" s="193">
        <f t="shared" ref="D33:N33" si="2">SUM(D6:D32)</f>
        <v>42288.079999999994</v>
      </c>
      <c r="E33" s="193">
        <f t="shared" si="2"/>
        <v>160154</v>
      </c>
      <c r="F33" s="193">
        <f t="shared" si="2"/>
        <v>268915.64</v>
      </c>
      <c r="G33" s="193">
        <f t="shared" si="2"/>
        <v>4344</v>
      </c>
      <c r="H33" s="193">
        <f t="shared" si="2"/>
        <v>7361.36</v>
      </c>
      <c r="I33" s="193">
        <f t="shared" si="2"/>
        <v>32916</v>
      </c>
      <c r="J33" s="193">
        <f t="shared" si="2"/>
        <v>129158.83</v>
      </c>
      <c r="K33" s="193">
        <f t="shared" si="2"/>
        <v>529</v>
      </c>
      <c r="L33" s="193">
        <f t="shared" si="2"/>
        <v>4225.26</v>
      </c>
      <c r="M33" s="193">
        <f t="shared" si="2"/>
        <v>49516</v>
      </c>
      <c r="N33" s="193">
        <f t="shared" si="2"/>
        <v>171940.02000000002</v>
      </c>
      <c r="O33" s="193">
        <f t="shared" ref="O33" si="3">SUM(O6:O32)</f>
        <v>267691</v>
      </c>
      <c r="P33" s="193">
        <f t="shared" ref="P33" si="4">SUM(P6:P32)</f>
        <v>623889.18999999994</v>
      </c>
    </row>
    <row r="34" spans="1:16" ht="15" customHeight="1" x14ac:dyDescent="0.2">
      <c r="A34" s="65">
        <v>28</v>
      </c>
      <c r="B34" s="66" t="s">
        <v>48</v>
      </c>
      <c r="C34" s="191">
        <v>57</v>
      </c>
      <c r="D34" s="191">
        <v>455.97</v>
      </c>
      <c r="E34" s="191">
        <v>2267</v>
      </c>
      <c r="F34" s="191">
        <v>4368.46</v>
      </c>
      <c r="G34" s="191">
        <v>4</v>
      </c>
      <c r="H34" s="191">
        <v>19.71</v>
      </c>
      <c r="I34" s="191">
        <v>274</v>
      </c>
      <c r="J34" s="191">
        <v>2232.7600000000002</v>
      </c>
      <c r="K34" s="191">
        <v>0</v>
      </c>
      <c r="L34" s="191">
        <v>0</v>
      </c>
      <c r="M34" s="191">
        <v>0</v>
      </c>
      <c r="N34" s="191">
        <v>0</v>
      </c>
      <c r="O34" s="191">
        <f t="shared" si="0"/>
        <v>2602</v>
      </c>
      <c r="P34" s="191">
        <f t="shared" si="1"/>
        <v>7076.9000000000005</v>
      </c>
    </row>
    <row r="35" spans="1:16" ht="15" customHeight="1" x14ac:dyDescent="0.2">
      <c r="A35" s="65">
        <v>29</v>
      </c>
      <c r="B35" s="66" t="s">
        <v>216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f t="shared" si="0"/>
        <v>0</v>
      </c>
      <c r="P35" s="191">
        <f t="shared" si="1"/>
        <v>0</v>
      </c>
    </row>
    <row r="36" spans="1:16" ht="15" customHeight="1" x14ac:dyDescent="0.2">
      <c r="A36" s="65">
        <v>30</v>
      </c>
      <c r="B36" s="66" t="s">
        <v>217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f t="shared" si="0"/>
        <v>0</v>
      </c>
      <c r="P36" s="191">
        <f t="shared" si="1"/>
        <v>0</v>
      </c>
    </row>
    <row r="37" spans="1:16" ht="15" customHeight="1" x14ac:dyDescent="0.2">
      <c r="A37" s="65">
        <v>31</v>
      </c>
      <c r="B37" s="66" t="s">
        <v>79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f t="shared" si="0"/>
        <v>0</v>
      </c>
      <c r="P37" s="191">
        <f t="shared" si="1"/>
        <v>0</v>
      </c>
    </row>
    <row r="38" spans="1:16" ht="15" customHeight="1" x14ac:dyDescent="0.2">
      <c r="A38" s="65">
        <v>32</v>
      </c>
      <c r="B38" s="66" t="s">
        <v>52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f t="shared" si="0"/>
        <v>0</v>
      </c>
      <c r="P38" s="191">
        <f t="shared" si="1"/>
        <v>0</v>
      </c>
    </row>
    <row r="39" spans="1:16" ht="15" customHeight="1" x14ac:dyDescent="0.2">
      <c r="A39" s="65">
        <v>33</v>
      </c>
      <c r="B39" s="66" t="s">
        <v>218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f t="shared" si="0"/>
        <v>0</v>
      </c>
      <c r="P39" s="191">
        <f t="shared" si="1"/>
        <v>0</v>
      </c>
    </row>
    <row r="40" spans="1:16" ht="15" customHeight="1" x14ac:dyDescent="0.2">
      <c r="A40" s="65">
        <v>34</v>
      </c>
      <c r="B40" s="66" t="s">
        <v>219</v>
      </c>
      <c r="C40" s="191">
        <v>2</v>
      </c>
      <c r="D40" s="191">
        <v>4.9000000000000004</v>
      </c>
      <c r="E40" s="191">
        <v>4</v>
      </c>
      <c r="F40" s="191">
        <v>1.5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f t="shared" si="0"/>
        <v>6</v>
      </c>
      <c r="P40" s="191">
        <f t="shared" si="1"/>
        <v>6.4</v>
      </c>
    </row>
    <row r="41" spans="1:16" ht="15" customHeight="1" x14ac:dyDescent="0.2">
      <c r="A41" s="65">
        <v>35</v>
      </c>
      <c r="B41" s="66" t="s">
        <v>220</v>
      </c>
      <c r="C41" s="191">
        <v>62</v>
      </c>
      <c r="D41" s="191">
        <v>503.2</v>
      </c>
      <c r="E41" s="191">
        <v>75</v>
      </c>
      <c r="F41" s="191">
        <v>177.66</v>
      </c>
      <c r="G41" s="191">
        <v>0</v>
      </c>
      <c r="H41" s="191">
        <v>0</v>
      </c>
      <c r="I41" s="191">
        <v>17</v>
      </c>
      <c r="J41" s="191">
        <v>42.24</v>
      </c>
      <c r="K41" s="191">
        <v>2</v>
      </c>
      <c r="L41" s="191">
        <v>5.95</v>
      </c>
      <c r="M41" s="191">
        <v>0</v>
      </c>
      <c r="N41" s="191">
        <v>0</v>
      </c>
      <c r="O41" s="191">
        <f t="shared" si="0"/>
        <v>156</v>
      </c>
      <c r="P41" s="191">
        <f t="shared" si="1"/>
        <v>729.05000000000007</v>
      </c>
    </row>
    <row r="42" spans="1:16" ht="15" customHeight="1" x14ac:dyDescent="0.2">
      <c r="A42" s="65">
        <v>36</v>
      </c>
      <c r="B42" s="66" t="s">
        <v>72</v>
      </c>
      <c r="C42" s="191">
        <v>251</v>
      </c>
      <c r="D42" s="191">
        <v>168</v>
      </c>
      <c r="E42" s="191">
        <v>17849</v>
      </c>
      <c r="F42" s="191">
        <v>15322</v>
      </c>
      <c r="G42" s="191">
        <v>6</v>
      </c>
      <c r="H42" s="191">
        <v>1</v>
      </c>
      <c r="I42" s="191">
        <v>1008</v>
      </c>
      <c r="J42" s="191">
        <v>4258</v>
      </c>
      <c r="K42" s="191">
        <v>4</v>
      </c>
      <c r="L42" s="191">
        <v>0</v>
      </c>
      <c r="M42" s="191">
        <v>367</v>
      </c>
      <c r="N42" s="191">
        <v>1594</v>
      </c>
      <c r="O42" s="191">
        <f t="shared" si="0"/>
        <v>19485</v>
      </c>
      <c r="P42" s="191">
        <f t="shared" si="1"/>
        <v>21343</v>
      </c>
    </row>
    <row r="43" spans="1:16" ht="15" customHeight="1" x14ac:dyDescent="0.2">
      <c r="A43" s="65">
        <v>37</v>
      </c>
      <c r="B43" s="66" t="s">
        <v>73</v>
      </c>
      <c r="C43" s="232">
        <v>330</v>
      </c>
      <c r="D43" s="349">
        <v>1247.95</v>
      </c>
      <c r="E43" s="232">
        <v>7015</v>
      </c>
      <c r="F43" s="232">
        <v>18496.97</v>
      </c>
      <c r="G43" s="232">
        <v>88</v>
      </c>
      <c r="H43" s="349">
        <v>157.06</v>
      </c>
      <c r="I43" s="232">
        <v>1275</v>
      </c>
      <c r="J43" s="232">
        <v>8395.08</v>
      </c>
      <c r="K43" s="232">
        <v>172</v>
      </c>
      <c r="L43" s="349">
        <v>258.17</v>
      </c>
      <c r="M43" s="232">
        <v>329</v>
      </c>
      <c r="N43" s="232">
        <v>3008.39</v>
      </c>
      <c r="O43" s="191">
        <f t="shared" si="0"/>
        <v>9209</v>
      </c>
      <c r="P43" s="191">
        <f t="shared" si="1"/>
        <v>31563.620000000003</v>
      </c>
    </row>
    <row r="44" spans="1:16" ht="15" customHeight="1" x14ac:dyDescent="0.2">
      <c r="A44" s="65">
        <v>38</v>
      </c>
      <c r="B44" s="66" t="s">
        <v>221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f t="shared" si="0"/>
        <v>0</v>
      </c>
      <c r="P44" s="191">
        <f t="shared" si="1"/>
        <v>0</v>
      </c>
    </row>
    <row r="45" spans="1:16" ht="15" customHeight="1" x14ac:dyDescent="0.2">
      <c r="A45" s="65">
        <v>39</v>
      </c>
      <c r="B45" s="66" t="s">
        <v>222</v>
      </c>
      <c r="C45" s="191">
        <v>79</v>
      </c>
      <c r="D45" s="191">
        <v>101</v>
      </c>
      <c r="E45" s="191">
        <v>6139</v>
      </c>
      <c r="F45" s="191">
        <v>11438</v>
      </c>
      <c r="G45" s="191">
        <v>7</v>
      </c>
      <c r="H45" s="191">
        <v>1</v>
      </c>
      <c r="I45" s="191">
        <v>225</v>
      </c>
      <c r="J45" s="191">
        <v>913</v>
      </c>
      <c r="K45" s="191">
        <v>0</v>
      </c>
      <c r="L45" s="191">
        <v>0</v>
      </c>
      <c r="M45" s="191">
        <v>578</v>
      </c>
      <c r="N45" s="191">
        <v>2138</v>
      </c>
      <c r="O45" s="191">
        <f t="shared" si="0"/>
        <v>7028</v>
      </c>
      <c r="P45" s="191">
        <f t="shared" si="1"/>
        <v>14591</v>
      </c>
    </row>
    <row r="46" spans="1:16" ht="15" customHeight="1" x14ac:dyDescent="0.2">
      <c r="A46" s="65">
        <v>40</v>
      </c>
      <c r="B46" s="66" t="s">
        <v>223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f t="shared" si="0"/>
        <v>0</v>
      </c>
      <c r="P46" s="191">
        <f t="shared" si="1"/>
        <v>0</v>
      </c>
    </row>
    <row r="47" spans="1:16" ht="15" customHeight="1" x14ac:dyDescent="0.2">
      <c r="A47" s="65">
        <v>41</v>
      </c>
      <c r="B47" s="66" t="s">
        <v>224</v>
      </c>
      <c r="C47" s="191">
        <v>4</v>
      </c>
      <c r="D47" s="191">
        <v>47.7</v>
      </c>
      <c r="E47" s="191">
        <v>24</v>
      </c>
      <c r="F47" s="191">
        <v>234.13</v>
      </c>
      <c r="G47" s="191">
        <v>0</v>
      </c>
      <c r="H47" s="191">
        <v>0</v>
      </c>
      <c r="I47" s="191">
        <v>4</v>
      </c>
      <c r="J47" s="191">
        <v>62.27</v>
      </c>
      <c r="K47" s="191">
        <v>0</v>
      </c>
      <c r="L47" s="191">
        <v>0</v>
      </c>
      <c r="M47" s="191">
        <v>15</v>
      </c>
      <c r="N47" s="191">
        <v>77.319999999999993</v>
      </c>
      <c r="O47" s="191">
        <f t="shared" si="0"/>
        <v>47</v>
      </c>
      <c r="P47" s="191">
        <f t="shared" si="1"/>
        <v>421.41999999999996</v>
      </c>
    </row>
    <row r="48" spans="1:16" ht="15" customHeight="1" x14ac:dyDescent="0.2">
      <c r="A48" s="65">
        <v>42</v>
      </c>
      <c r="B48" s="66" t="s">
        <v>225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f t="shared" si="0"/>
        <v>0</v>
      </c>
      <c r="P48" s="191">
        <f t="shared" si="1"/>
        <v>0</v>
      </c>
    </row>
    <row r="49" spans="1:16" ht="15" customHeight="1" x14ac:dyDescent="0.2">
      <c r="A49" s="65">
        <v>43</v>
      </c>
      <c r="B49" s="66" t="s">
        <v>74</v>
      </c>
      <c r="C49" s="191">
        <v>21</v>
      </c>
      <c r="D49" s="191">
        <v>73</v>
      </c>
      <c r="E49" s="191">
        <v>1233</v>
      </c>
      <c r="F49" s="191">
        <v>3353</v>
      </c>
      <c r="G49" s="191">
        <v>28</v>
      </c>
      <c r="H49" s="191">
        <v>63</v>
      </c>
      <c r="I49" s="191">
        <v>329</v>
      </c>
      <c r="J49" s="191">
        <v>3950</v>
      </c>
      <c r="K49" s="191">
        <v>3</v>
      </c>
      <c r="L49" s="191">
        <v>24</v>
      </c>
      <c r="M49" s="191">
        <v>267</v>
      </c>
      <c r="N49" s="191">
        <v>5765</v>
      </c>
      <c r="O49" s="191">
        <f t="shared" si="0"/>
        <v>1881</v>
      </c>
      <c r="P49" s="191">
        <f t="shared" si="1"/>
        <v>13228</v>
      </c>
    </row>
    <row r="50" spans="1:16" ht="15" customHeight="1" x14ac:dyDescent="0.2">
      <c r="A50" s="65">
        <v>44</v>
      </c>
      <c r="B50" s="66" t="s">
        <v>226</v>
      </c>
      <c r="C50" s="191">
        <v>1</v>
      </c>
      <c r="D50" s="191">
        <v>1</v>
      </c>
      <c r="E50" s="191">
        <v>0</v>
      </c>
      <c r="F50" s="191">
        <v>0</v>
      </c>
      <c r="G50" s="191">
        <v>0</v>
      </c>
      <c r="H50" s="191">
        <v>0</v>
      </c>
      <c r="I50" s="191">
        <v>1</v>
      </c>
      <c r="J50" s="191">
        <v>6.6</v>
      </c>
      <c r="K50" s="191">
        <v>0</v>
      </c>
      <c r="L50" s="191">
        <v>0</v>
      </c>
      <c r="M50" s="191">
        <v>1</v>
      </c>
      <c r="N50" s="191">
        <v>2.7</v>
      </c>
      <c r="O50" s="191">
        <f t="shared" si="0"/>
        <v>3</v>
      </c>
      <c r="P50" s="191">
        <f t="shared" si="1"/>
        <v>10.3</v>
      </c>
    </row>
    <row r="51" spans="1:16" ht="15" customHeight="1" x14ac:dyDescent="0.2">
      <c r="A51" s="65">
        <v>45</v>
      </c>
      <c r="B51" s="66" t="s">
        <v>227</v>
      </c>
      <c r="C51" s="191">
        <v>7</v>
      </c>
      <c r="D51" s="191">
        <v>0.69</v>
      </c>
      <c r="E51" s="191">
        <v>5145</v>
      </c>
      <c r="F51" s="191">
        <v>590.79</v>
      </c>
      <c r="G51" s="191">
        <v>19</v>
      </c>
      <c r="H51" s="191">
        <v>2.64</v>
      </c>
      <c r="I51" s="191">
        <v>14</v>
      </c>
      <c r="J51" s="191">
        <v>2.12</v>
      </c>
      <c r="K51" s="191">
        <v>2</v>
      </c>
      <c r="L51" s="191">
        <v>0.16</v>
      </c>
      <c r="M51" s="191">
        <v>17</v>
      </c>
      <c r="N51" s="191">
        <v>2.71</v>
      </c>
      <c r="O51" s="191">
        <f t="shared" si="0"/>
        <v>5204</v>
      </c>
      <c r="P51" s="191">
        <f t="shared" si="1"/>
        <v>599.11</v>
      </c>
    </row>
    <row r="52" spans="1:16" ht="15" customHeight="1" x14ac:dyDescent="0.2">
      <c r="A52" s="65">
        <v>46</v>
      </c>
      <c r="B52" s="66" t="s">
        <v>228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f t="shared" si="0"/>
        <v>0</v>
      </c>
      <c r="P52" s="191">
        <f t="shared" si="1"/>
        <v>0</v>
      </c>
    </row>
    <row r="53" spans="1:16" ht="15" customHeight="1" x14ac:dyDescent="0.2">
      <c r="A53" s="65">
        <v>47</v>
      </c>
      <c r="B53" s="66" t="s">
        <v>78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f t="shared" si="0"/>
        <v>0</v>
      </c>
      <c r="P53" s="191">
        <f t="shared" si="1"/>
        <v>0</v>
      </c>
    </row>
    <row r="54" spans="1:16" ht="15" customHeight="1" x14ac:dyDescent="0.2">
      <c r="A54" s="65">
        <v>48</v>
      </c>
      <c r="B54" s="66" t="s">
        <v>229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f t="shared" si="0"/>
        <v>0</v>
      </c>
      <c r="P54" s="191">
        <f t="shared" si="1"/>
        <v>0</v>
      </c>
    </row>
    <row r="55" spans="1:16" ht="15" customHeight="1" x14ac:dyDescent="0.2">
      <c r="A55" s="65">
        <v>49</v>
      </c>
      <c r="B55" s="66" t="s">
        <v>77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f t="shared" si="0"/>
        <v>0</v>
      </c>
      <c r="P55" s="191">
        <f t="shared" si="1"/>
        <v>0</v>
      </c>
    </row>
    <row r="56" spans="1:16" s="342" customFormat="1" ht="15" customHeight="1" x14ac:dyDescent="0.2">
      <c r="A56" s="68" t="s">
        <v>488</v>
      </c>
      <c r="B56" s="68" t="s">
        <v>408</v>
      </c>
      <c r="C56" s="193">
        <f>SUM(C34:C55)</f>
        <v>814</v>
      </c>
      <c r="D56" s="193">
        <f t="shared" ref="D56:N56" si="5">SUM(D34:D55)</f>
        <v>2603.41</v>
      </c>
      <c r="E56" s="193">
        <f t="shared" si="5"/>
        <v>39751</v>
      </c>
      <c r="F56" s="193">
        <f t="shared" si="5"/>
        <v>53982.509999999995</v>
      </c>
      <c r="G56" s="193">
        <f t="shared" si="5"/>
        <v>152</v>
      </c>
      <c r="H56" s="193">
        <f t="shared" si="5"/>
        <v>244.41</v>
      </c>
      <c r="I56" s="193">
        <f t="shared" si="5"/>
        <v>3147</v>
      </c>
      <c r="J56" s="193">
        <f t="shared" si="5"/>
        <v>19862.069999999996</v>
      </c>
      <c r="K56" s="193">
        <f t="shared" si="5"/>
        <v>183</v>
      </c>
      <c r="L56" s="193">
        <f t="shared" si="5"/>
        <v>288.28000000000003</v>
      </c>
      <c r="M56" s="193">
        <f t="shared" si="5"/>
        <v>1574</v>
      </c>
      <c r="N56" s="193">
        <f t="shared" si="5"/>
        <v>12588.119999999999</v>
      </c>
      <c r="O56" s="193">
        <f t="shared" ref="O56" si="6">SUM(O34:O55)</f>
        <v>45621</v>
      </c>
      <c r="P56" s="193">
        <f t="shared" ref="P56" si="7">SUM(P34:P55)</f>
        <v>89568.8</v>
      </c>
    </row>
    <row r="57" spans="1:16" ht="15" customHeight="1" x14ac:dyDescent="0.2">
      <c r="A57" s="65">
        <v>50</v>
      </c>
      <c r="B57" s="66" t="s">
        <v>47</v>
      </c>
      <c r="C57" s="191">
        <v>1425</v>
      </c>
      <c r="D57" s="191">
        <v>652.29999999999995</v>
      </c>
      <c r="E57" s="191">
        <v>21383</v>
      </c>
      <c r="F57" s="191">
        <v>8184.57</v>
      </c>
      <c r="G57" s="191">
        <v>509</v>
      </c>
      <c r="H57" s="191">
        <v>331.28</v>
      </c>
      <c r="I57" s="191">
        <v>1849</v>
      </c>
      <c r="J57" s="191">
        <v>572.67999999999995</v>
      </c>
      <c r="K57" s="191">
        <v>0</v>
      </c>
      <c r="L57" s="191">
        <v>0</v>
      </c>
      <c r="M57" s="191">
        <v>7915</v>
      </c>
      <c r="N57" s="191">
        <v>15940.29</v>
      </c>
      <c r="O57" s="191">
        <f t="shared" si="0"/>
        <v>33081</v>
      </c>
      <c r="P57" s="191">
        <f t="shared" si="1"/>
        <v>25681.120000000003</v>
      </c>
    </row>
    <row r="58" spans="1:16" ht="15" customHeight="1" x14ac:dyDescent="0.2">
      <c r="A58" s="65">
        <v>51</v>
      </c>
      <c r="B58" s="66" t="s">
        <v>230</v>
      </c>
      <c r="C58" s="191">
        <v>96</v>
      </c>
      <c r="D58" s="191">
        <v>70</v>
      </c>
      <c r="E58" s="191">
        <v>8954</v>
      </c>
      <c r="F58" s="191">
        <v>4452</v>
      </c>
      <c r="G58" s="191">
        <v>0</v>
      </c>
      <c r="H58" s="191">
        <v>0</v>
      </c>
      <c r="I58" s="191">
        <v>690</v>
      </c>
      <c r="J58" s="191">
        <v>549</v>
      </c>
      <c r="K58" s="191">
        <v>0</v>
      </c>
      <c r="L58" s="191">
        <v>0</v>
      </c>
      <c r="M58" s="191">
        <v>20999</v>
      </c>
      <c r="N58" s="191">
        <v>7938</v>
      </c>
      <c r="O58" s="191">
        <f t="shared" si="0"/>
        <v>30739</v>
      </c>
      <c r="P58" s="191">
        <f t="shared" si="1"/>
        <v>13009</v>
      </c>
    </row>
    <row r="59" spans="1:16" ht="15" customHeight="1" x14ac:dyDescent="0.2">
      <c r="A59" s="65">
        <v>52</v>
      </c>
      <c r="B59" s="66" t="s">
        <v>53</v>
      </c>
      <c r="C59" s="191">
        <v>881</v>
      </c>
      <c r="D59" s="191">
        <v>849</v>
      </c>
      <c r="E59" s="191">
        <v>16825</v>
      </c>
      <c r="F59" s="191">
        <v>9670.01</v>
      </c>
      <c r="G59" s="191">
        <v>0</v>
      </c>
      <c r="H59" s="191">
        <v>0</v>
      </c>
      <c r="I59" s="191">
        <v>994</v>
      </c>
      <c r="J59" s="191">
        <v>977.19</v>
      </c>
      <c r="K59" s="191">
        <v>0</v>
      </c>
      <c r="L59" s="191">
        <v>0</v>
      </c>
      <c r="M59" s="191">
        <v>2982</v>
      </c>
      <c r="N59" s="191">
        <v>3315.58</v>
      </c>
      <c r="O59" s="191">
        <f t="shared" si="0"/>
        <v>21682</v>
      </c>
      <c r="P59" s="191">
        <f t="shared" si="1"/>
        <v>14811.78</v>
      </c>
    </row>
    <row r="60" spans="1:16" s="342" customFormat="1" ht="15" customHeight="1" x14ac:dyDescent="0.2">
      <c r="A60" s="335" t="s">
        <v>488</v>
      </c>
      <c r="B60" s="336" t="s">
        <v>415</v>
      </c>
      <c r="C60" s="193">
        <f>SUM(C57:C59)</f>
        <v>2402</v>
      </c>
      <c r="D60" s="193">
        <f t="shared" ref="D60:N60" si="8">SUM(D57:D59)</f>
        <v>1571.3</v>
      </c>
      <c r="E60" s="193">
        <f t="shared" si="8"/>
        <v>47162</v>
      </c>
      <c r="F60" s="193">
        <f t="shared" si="8"/>
        <v>22306.58</v>
      </c>
      <c r="G60" s="193">
        <f t="shared" si="8"/>
        <v>509</v>
      </c>
      <c r="H60" s="193">
        <f t="shared" si="8"/>
        <v>331.28</v>
      </c>
      <c r="I60" s="193">
        <f t="shared" si="8"/>
        <v>3533</v>
      </c>
      <c r="J60" s="193">
        <f t="shared" si="8"/>
        <v>2098.87</v>
      </c>
      <c r="K60" s="193">
        <f t="shared" si="8"/>
        <v>0</v>
      </c>
      <c r="L60" s="193">
        <f t="shared" si="8"/>
        <v>0</v>
      </c>
      <c r="M60" s="193">
        <f t="shared" si="8"/>
        <v>31896</v>
      </c>
      <c r="N60" s="193">
        <f t="shared" si="8"/>
        <v>27193.870000000003</v>
      </c>
      <c r="O60" s="193">
        <f t="shared" ref="O60" si="9">SUM(O57:O59)</f>
        <v>85502</v>
      </c>
      <c r="P60" s="193">
        <f t="shared" ref="P60" si="10">SUM(P57:P59)</f>
        <v>53501.9</v>
      </c>
    </row>
    <row r="61" spans="1:16" ht="15" customHeight="1" x14ac:dyDescent="0.2">
      <c r="A61" s="332">
        <v>53</v>
      </c>
      <c r="B61" s="333" t="s">
        <v>409</v>
      </c>
      <c r="C61" s="191">
        <v>985</v>
      </c>
      <c r="D61" s="191">
        <v>183.27</v>
      </c>
      <c r="E61" s="191">
        <v>40282</v>
      </c>
      <c r="F61" s="191">
        <v>15733.64</v>
      </c>
      <c r="G61" s="191">
        <v>1717</v>
      </c>
      <c r="H61" s="191">
        <v>402.35</v>
      </c>
      <c r="I61" s="191">
        <v>1859</v>
      </c>
      <c r="J61" s="191">
        <v>899.49</v>
      </c>
      <c r="K61" s="191">
        <v>0</v>
      </c>
      <c r="L61" s="191">
        <v>0</v>
      </c>
      <c r="M61" s="191">
        <v>7815</v>
      </c>
      <c r="N61" s="191">
        <v>3840.18</v>
      </c>
      <c r="O61" s="191">
        <f t="shared" si="0"/>
        <v>52658</v>
      </c>
      <c r="P61" s="191">
        <f t="shared" si="1"/>
        <v>21058.93</v>
      </c>
    </row>
    <row r="62" spans="1:16" s="342" customFormat="1" ht="15" customHeight="1" x14ac:dyDescent="0.2">
      <c r="A62" s="335" t="s">
        <v>488</v>
      </c>
      <c r="B62" s="336" t="s">
        <v>410</v>
      </c>
      <c r="C62" s="193">
        <f>C61</f>
        <v>985</v>
      </c>
      <c r="D62" s="193">
        <f t="shared" ref="D62:N62" si="11">D61</f>
        <v>183.27</v>
      </c>
      <c r="E62" s="193">
        <f t="shared" si="11"/>
        <v>40282</v>
      </c>
      <c r="F62" s="193">
        <f t="shared" si="11"/>
        <v>15733.64</v>
      </c>
      <c r="G62" s="193">
        <f t="shared" si="11"/>
        <v>1717</v>
      </c>
      <c r="H62" s="193">
        <f t="shared" si="11"/>
        <v>402.35</v>
      </c>
      <c r="I62" s="193">
        <f t="shared" si="11"/>
        <v>1859</v>
      </c>
      <c r="J62" s="193">
        <f t="shared" si="11"/>
        <v>899.49</v>
      </c>
      <c r="K62" s="193">
        <f t="shared" si="11"/>
        <v>0</v>
      </c>
      <c r="L62" s="193">
        <f t="shared" si="11"/>
        <v>0</v>
      </c>
      <c r="M62" s="193">
        <f t="shared" si="11"/>
        <v>7815</v>
      </c>
      <c r="N62" s="193">
        <f t="shared" si="11"/>
        <v>3840.18</v>
      </c>
      <c r="O62" s="193">
        <f t="shared" ref="O62" si="12">O61</f>
        <v>52658</v>
      </c>
      <c r="P62" s="193">
        <f t="shared" ref="P62" si="13">P61</f>
        <v>21058.93</v>
      </c>
    </row>
    <row r="63" spans="1:16" s="342" customFormat="1" ht="15" customHeight="1" x14ac:dyDescent="0.2">
      <c r="A63" s="335" t="s">
        <v>488</v>
      </c>
      <c r="B63" s="336" t="s">
        <v>411</v>
      </c>
      <c r="C63" s="193">
        <f>C62+C60+C56+C33</f>
        <v>24433</v>
      </c>
      <c r="D63" s="193">
        <f t="shared" ref="D63:N63" si="14">D62+D60+D56+D33</f>
        <v>46646.06</v>
      </c>
      <c r="E63" s="193">
        <f t="shared" si="14"/>
        <v>287349</v>
      </c>
      <c r="F63" s="193">
        <f t="shared" si="14"/>
        <v>360938.37</v>
      </c>
      <c r="G63" s="193">
        <f t="shared" si="14"/>
        <v>6722</v>
      </c>
      <c r="H63" s="193">
        <f t="shared" si="14"/>
        <v>8339.4</v>
      </c>
      <c r="I63" s="193">
        <f t="shared" si="14"/>
        <v>41455</v>
      </c>
      <c r="J63" s="193">
        <f t="shared" si="14"/>
        <v>152019.26</v>
      </c>
      <c r="K63" s="193">
        <f t="shared" si="14"/>
        <v>712</v>
      </c>
      <c r="L63" s="193">
        <f t="shared" si="14"/>
        <v>4513.54</v>
      </c>
      <c r="M63" s="193">
        <f t="shared" si="14"/>
        <v>90801</v>
      </c>
      <c r="N63" s="193">
        <f t="shared" si="14"/>
        <v>215562.19</v>
      </c>
      <c r="O63" s="193">
        <f t="shared" ref="O63" si="15">O62+O60+O56+O33</f>
        <v>451472</v>
      </c>
      <c r="P63" s="193">
        <f t="shared" ref="P63" si="16">P62+P60+P56+P33</f>
        <v>788018.82</v>
      </c>
    </row>
  </sheetData>
  <mergeCells count="12"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</mergeCells>
  <conditionalFormatting sqref="M3">
    <cfRule type="cellIs" dxfId="31" priority="7" operator="lessThan">
      <formula>0</formula>
    </cfRule>
  </conditionalFormatting>
  <conditionalFormatting sqref="B6">
    <cfRule type="duplicateValues" dxfId="30" priority="1"/>
  </conditionalFormatting>
  <conditionalFormatting sqref="B22">
    <cfRule type="duplicateValues" dxfId="29" priority="2"/>
  </conditionalFormatting>
  <conditionalFormatting sqref="B33:B34 B26:B30">
    <cfRule type="duplicateValues" dxfId="28" priority="3"/>
  </conditionalFormatting>
  <conditionalFormatting sqref="B52">
    <cfRule type="duplicateValues" dxfId="27" priority="4"/>
  </conditionalFormatting>
  <conditionalFormatting sqref="B56">
    <cfRule type="duplicateValues" dxfId="26" priority="5"/>
  </conditionalFormatting>
  <conditionalFormatting sqref="B58">
    <cfRule type="duplicateValues" dxfId="25" priority="6"/>
  </conditionalFormatting>
  <pageMargins left="0.2" right="0.2" top="0.5" bottom="0.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3"/>
  <sheetViews>
    <sheetView view="pageBreakPreview" zoomScale="60" zoomScaleNormal="10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29" customWidth="1"/>
    <col min="2" max="2" width="24.42578125" style="229" bestFit="1" customWidth="1"/>
    <col min="3" max="3" width="9.42578125" style="231" bestFit="1" customWidth="1"/>
    <col min="4" max="4" width="9.140625" style="231" customWidth="1"/>
    <col min="5" max="5" width="9.42578125" style="231" bestFit="1" customWidth="1"/>
    <col min="6" max="6" width="11.5703125" style="231" bestFit="1" customWidth="1"/>
    <col min="7" max="7" width="9.42578125" style="231" bestFit="1" customWidth="1"/>
    <col min="8" max="8" width="10.5703125" style="231" bestFit="1" customWidth="1"/>
    <col min="9" max="9" width="9.42578125" style="231" bestFit="1" customWidth="1"/>
    <col min="10" max="10" width="9.28515625" style="231" customWidth="1"/>
    <col min="11" max="11" width="9.42578125" style="231" bestFit="1" customWidth="1"/>
    <col min="12" max="12" width="8.28515625" style="231" customWidth="1"/>
    <col min="13" max="13" width="9.42578125" style="231" bestFit="1" customWidth="1"/>
    <col min="14" max="14" width="9.140625" style="231" customWidth="1"/>
    <col min="15" max="15" width="9.42578125" style="231" bestFit="1" customWidth="1"/>
    <col min="16" max="16" width="8.42578125" style="231" customWidth="1"/>
    <col min="17" max="18" width="9.140625" style="231"/>
    <col min="19" max="16384" width="9.140625" style="229"/>
  </cols>
  <sheetData>
    <row r="1" spans="1:16" ht="15.75" customHeight="1" x14ac:dyDescent="0.2">
      <c r="A1" s="489" t="s">
        <v>495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16" ht="14.25" x14ac:dyDescent="0.2">
      <c r="A2" s="49" t="s">
        <v>118</v>
      </c>
      <c r="B2" s="49"/>
      <c r="C2" s="214"/>
      <c r="D2" s="214"/>
      <c r="E2" s="214"/>
      <c r="F2" s="214"/>
    </row>
    <row r="3" spans="1:16" ht="15" customHeight="1" x14ac:dyDescent="0.2">
      <c r="A3" s="34"/>
      <c r="B3" s="417" t="s">
        <v>12</v>
      </c>
      <c r="C3" s="417"/>
      <c r="D3" s="417"/>
      <c r="M3" s="518" t="s">
        <v>184</v>
      </c>
      <c r="N3" s="518"/>
    </row>
    <row r="4" spans="1:16" x14ac:dyDescent="0.2">
      <c r="A4" s="520" t="s">
        <v>232</v>
      </c>
      <c r="B4" s="520" t="s">
        <v>3</v>
      </c>
      <c r="C4" s="523" t="s">
        <v>27</v>
      </c>
      <c r="D4" s="524"/>
      <c r="E4" s="519" t="s">
        <v>181</v>
      </c>
      <c r="F4" s="519"/>
      <c r="G4" s="523" t="s">
        <v>28</v>
      </c>
      <c r="H4" s="524"/>
      <c r="I4" s="519" t="s">
        <v>26</v>
      </c>
      <c r="J4" s="519"/>
      <c r="K4" s="523" t="s">
        <v>182</v>
      </c>
      <c r="L4" s="524"/>
      <c r="M4" s="519" t="s">
        <v>29</v>
      </c>
      <c r="N4" s="519"/>
      <c r="O4" s="519" t="s">
        <v>0</v>
      </c>
      <c r="P4" s="519"/>
    </row>
    <row r="5" spans="1:16" ht="13.5" x14ac:dyDescent="0.2">
      <c r="A5" s="521"/>
      <c r="B5" s="522"/>
      <c r="C5" s="339" t="s">
        <v>30</v>
      </c>
      <c r="D5" s="339" t="s">
        <v>17</v>
      </c>
      <c r="E5" s="339" t="s">
        <v>30</v>
      </c>
      <c r="F5" s="339" t="s">
        <v>17</v>
      </c>
      <c r="G5" s="339" t="s">
        <v>30</v>
      </c>
      <c r="H5" s="339" t="s">
        <v>17</v>
      </c>
      <c r="I5" s="339" t="s">
        <v>30</v>
      </c>
      <c r="J5" s="339" t="s">
        <v>17</v>
      </c>
      <c r="K5" s="339" t="s">
        <v>30</v>
      </c>
      <c r="L5" s="339" t="s">
        <v>17</v>
      </c>
      <c r="M5" s="339" t="s">
        <v>30</v>
      </c>
      <c r="N5" s="339" t="s">
        <v>17</v>
      </c>
      <c r="O5" s="341" t="s">
        <v>22</v>
      </c>
      <c r="P5" s="341" t="s">
        <v>23</v>
      </c>
    </row>
    <row r="6" spans="1:16" ht="15" customHeight="1" x14ac:dyDescent="0.2">
      <c r="A6" s="350">
        <v>1</v>
      </c>
      <c r="B6" s="351" t="s">
        <v>56</v>
      </c>
      <c r="C6" s="352">
        <v>183</v>
      </c>
      <c r="D6" s="352">
        <v>1831</v>
      </c>
      <c r="E6" s="352">
        <v>693</v>
      </c>
      <c r="F6" s="352">
        <v>2189</v>
      </c>
      <c r="G6" s="353">
        <v>0</v>
      </c>
      <c r="H6" s="353">
        <v>0</v>
      </c>
      <c r="I6" s="353">
        <v>154</v>
      </c>
      <c r="J6" s="353">
        <v>463</v>
      </c>
      <c r="K6" s="353">
        <v>0</v>
      </c>
      <c r="L6" s="353">
        <v>0</v>
      </c>
      <c r="M6" s="353">
        <v>56</v>
      </c>
      <c r="N6" s="353">
        <v>783</v>
      </c>
      <c r="O6" s="353">
        <f>C6+E6+G6+I6+K6+M6</f>
        <v>1086</v>
      </c>
      <c r="P6" s="353">
        <f>D6+F6+H6+J6+L6+N6</f>
        <v>5266</v>
      </c>
    </row>
    <row r="7" spans="1:16" ht="15" customHeight="1" x14ac:dyDescent="0.2">
      <c r="A7" s="350">
        <v>2</v>
      </c>
      <c r="B7" s="351" t="s">
        <v>57</v>
      </c>
      <c r="C7" s="353">
        <v>4</v>
      </c>
      <c r="D7" s="353">
        <v>10.86</v>
      </c>
      <c r="E7" s="353">
        <v>84</v>
      </c>
      <c r="F7" s="353">
        <v>272.82</v>
      </c>
      <c r="G7" s="353">
        <v>0</v>
      </c>
      <c r="H7" s="353">
        <v>0</v>
      </c>
      <c r="I7" s="353">
        <v>15</v>
      </c>
      <c r="J7" s="353">
        <v>70.55</v>
      </c>
      <c r="K7" s="353">
        <v>0</v>
      </c>
      <c r="L7" s="353">
        <v>0</v>
      </c>
      <c r="M7" s="353">
        <v>0</v>
      </c>
      <c r="N7" s="353">
        <v>0</v>
      </c>
      <c r="O7" s="353">
        <f t="shared" ref="O7:O32" si="0">C7+E7+G7+I7+K7+M7</f>
        <v>103</v>
      </c>
      <c r="P7" s="353">
        <f t="shared" ref="P7:P32" si="1">D7+F7+H7+J7+L7+N7</f>
        <v>354.23</v>
      </c>
    </row>
    <row r="8" spans="1:16" ht="15" customHeight="1" x14ac:dyDescent="0.2">
      <c r="A8" s="350">
        <v>3</v>
      </c>
      <c r="B8" s="351" t="s">
        <v>58</v>
      </c>
      <c r="C8" s="353">
        <v>11</v>
      </c>
      <c r="D8" s="353">
        <v>71</v>
      </c>
      <c r="E8" s="353">
        <v>90</v>
      </c>
      <c r="F8" s="353">
        <v>757</v>
      </c>
      <c r="G8" s="353">
        <v>1</v>
      </c>
      <c r="H8" s="353">
        <v>1</v>
      </c>
      <c r="I8" s="353">
        <v>33</v>
      </c>
      <c r="J8" s="353">
        <v>609</v>
      </c>
      <c r="K8" s="353">
        <v>1</v>
      </c>
      <c r="L8" s="353">
        <v>1</v>
      </c>
      <c r="M8" s="353">
        <v>77</v>
      </c>
      <c r="N8" s="353">
        <v>3470</v>
      </c>
      <c r="O8" s="353">
        <f t="shared" si="0"/>
        <v>213</v>
      </c>
      <c r="P8" s="353">
        <f t="shared" si="1"/>
        <v>4909</v>
      </c>
    </row>
    <row r="9" spans="1:16" ht="15" customHeight="1" x14ac:dyDescent="0.2">
      <c r="A9" s="350">
        <v>4</v>
      </c>
      <c r="B9" s="351" t="s">
        <v>59</v>
      </c>
      <c r="C9" s="353">
        <v>310</v>
      </c>
      <c r="D9" s="353">
        <v>607</v>
      </c>
      <c r="E9" s="353">
        <v>13420</v>
      </c>
      <c r="F9" s="353">
        <v>15368</v>
      </c>
      <c r="G9" s="353">
        <v>11</v>
      </c>
      <c r="H9" s="353">
        <v>38</v>
      </c>
      <c r="I9" s="353">
        <v>595</v>
      </c>
      <c r="J9" s="353">
        <v>21042</v>
      </c>
      <c r="K9" s="353">
        <v>2</v>
      </c>
      <c r="L9" s="353">
        <v>5</v>
      </c>
      <c r="M9" s="353">
        <v>72</v>
      </c>
      <c r="N9" s="353">
        <v>851</v>
      </c>
      <c r="O9" s="353">
        <f t="shared" si="0"/>
        <v>14410</v>
      </c>
      <c r="P9" s="353">
        <f t="shared" si="1"/>
        <v>37911</v>
      </c>
    </row>
    <row r="10" spans="1:16" ht="15" customHeight="1" x14ac:dyDescent="0.2">
      <c r="A10" s="350">
        <v>5</v>
      </c>
      <c r="B10" s="351" t="s">
        <v>60</v>
      </c>
      <c r="C10" s="353">
        <v>85</v>
      </c>
      <c r="D10" s="353">
        <v>178</v>
      </c>
      <c r="E10" s="353">
        <v>79</v>
      </c>
      <c r="F10" s="353">
        <v>131</v>
      </c>
      <c r="G10" s="353">
        <v>0</v>
      </c>
      <c r="H10" s="353">
        <v>0</v>
      </c>
      <c r="I10" s="353">
        <v>15</v>
      </c>
      <c r="J10" s="353">
        <v>73</v>
      </c>
      <c r="K10" s="353">
        <v>0</v>
      </c>
      <c r="L10" s="353">
        <v>0</v>
      </c>
      <c r="M10" s="353">
        <v>53</v>
      </c>
      <c r="N10" s="353">
        <v>193</v>
      </c>
      <c r="O10" s="353">
        <f t="shared" si="0"/>
        <v>232</v>
      </c>
      <c r="P10" s="353">
        <f t="shared" si="1"/>
        <v>575</v>
      </c>
    </row>
    <row r="11" spans="1:16" ht="15" customHeight="1" x14ac:dyDescent="0.2">
      <c r="A11" s="350">
        <v>6</v>
      </c>
      <c r="B11" s="354" t="s">
        <v>244</v>
      </c>
      <c r="C11" s="353">
        <v>1</v>
      </c>
      <c r="D11" s="353">
        <v>0.69</v>
      </c>
      <c r="E11" s="353">
        <v>1</v>
      </c>
      <c r="F11" s="353">
        <v>5</v>
      </c>
      <c r="G11" s="353">
        <v>0</v>
      </c>
      <c r="H11" s="353">
        <v>0</v>
      </c>
      <c r="I11" s="353">
        <v>0</v>
      </c>
      <c r="J11" s="353">
        <v>0</v>
      </c>
      <c r="K11" s="353">
        <v>0</v>
      </c>
      <c r="L11" s="353">
        <v>0</v>
      </c>
      <c r="M11" s="353">
        <v>0</v>
      </c>
      <c r="N11" s="353">
        <v>0</v>
      </c>
      <c r="O11" s="353">
        <f t="shared" si="0"/>
        <v>2</v>
      </c>
      <c r="P11" s="353">
        <f t="shared" si="1"/>
        <v>5.6899999999999995</v>
      </c>
    </row>
    <row r="12" spans="1:16" ht="15" customHeight="1" x14ac:dyDescent="0.2">
      <c r="A12" s="350">
        <v>7</v>
      </c>
      <c r="B12" s="351" t="s">
        <v>61</v>
      </c>
      <c r="C12" s="353">
        <v>617</v>
      </c>
      <c r="D12" s="353">
        <v>598</v>
      </c>
      <c r="E12" s="353">
        <v>545</v>
      </c>
      <c r="F12" s="353">
        <v>680</v>
      </c>
      <c r="G12" s="353">
        <v>18</v>
      </c>
      <c r="H12" s="353">
        <v>86</v>
      </c>
      <c r="I12" s="353">
        <v>172</v>
      </c>
      <c r="J12" s="353">
        <v>204</v>
      </c>
      <c r="K12" s="353">
        <v>0</v>
      </c>
      <c r="L12" s="353">
        <v>0</v>
      </c>
      <c r="M12" s="353">
        <v>355</v>
      </c>
      <c r="N12" s="353">
        <v>968</v>
      </c>
      <c r="O12" s="353">
        <f t="shared" si="0"/>
        <v>1707</v>
      </c>
      <c r="P12" s="353">
        <f t="shared" si="1"/>
        <v>2536</v>
      </c>
    </row>
    <row r="13" spans="1:16" ht="15" customHeight="1" x14ac:dyDescent="0.2">
      <c r="A13" s="350">
        <v>8</v>
      </c>
      <c r="B13" s="351" t="s">
        <v>62</v>
      </c>
      <c r="C13" s="353">
        <v>86</v>
      </c>
      <c r="D13" s="353">
        <v>41</v>
      </c>
      <c r="E13" s="353">
        <v>3165</v>
      </c>
      <c r="F13" s="353">
        <v>608</v>
      </c>
      <c r="G13" s="353">
        <v>0</v>
      </c>
      <c r="H13" s="353">
        <v>0</v>
      </c>
      <c r="I13" s="353">
        <v>641</v>
      </c>
      <c r="J13" s="353">
        <v>323</v>
      </c>
      <c r="K13" s="353">
        <v>0</v>
      </c>
      <c r="L13" s="353">
        <v>0</v>
      </c>
      <c r="M13" s="353">
        <v>78</v>
      </c>
      <c r="N13" s="353">
        <v>1409</v>
      </c>
      <c r="O13" s="353">
        <f t="shared" si="0"/>
        <v>3970</v>
      </c>
      <c r="P13" s="353">
        <f t="shared" si="1"/>
        <v>2381</v>
      </c>
    </row>
    <row r="14" spans="1:16" ht="15" customHeight="1" x14ac:dyDescent="0.2">
      <c r="A14" s="350">
        <v>9</v>
      </c>
      <c r="B14" s="351" t="s">
        <v>49</v>
      </c>
      <c r="C14" s="353">
        <v>132</v>
      </c>
      <c r="D14" s="353">
        <v>395</v>
      </c>
      <c r="E14" s="353">
        <v>1057</v>
      </c>
      <c r="F14" s="353">
        <v>3611</v>
      </c>
      <c r="G14" s="353">
        <v>15</v>
      </c>
      <c r="H14" s="353">
        <v>27</v>
      </c>
      <c r="I14" s="353">
        <v>165</v>
      </c>
      <c r="J14" s="353">
        <v>1006</v>
      </c>
      <c r="K14" s="353">
        <v>0</v>
      </c>
      <c r="L14" s="353">
        <v>0</v>
      </c>
      <c r="M14" s="353">
        <v>390</v>
      </c>
      <c r="N14" s="353">
        <v>3002</v>
      </c>
      <c r="O14" s="353">
        <f t="shared" si="0"/>
        <v>1759</v>
      </c>
      <c r="P14" s="353">
        <f t="shared" si="1"/>
        <v>8041</v>
      </c>
    </row>
    <row r="15" spans="1:16" ht="15" customHeight="1" x14ac:dyDescent="0.2">
      <c r="A15" s="350">
        <v>10</v>
      </c>
      <c r="B15" s="351" t="s">
        <v>50</v>
      </c>
      <c r="C15" s="353">
        <v>2</v>
      </c>
      <c r="D15" s="353">
        <v>7</v>
      </c>
      <c r="E15" s="353">
        <v>80</v>
      </c>
      <c r="F15" s="353">
        <v>345</v>
      </c>
      <c r="G15" s="353">
        <v>0</v>
      </c>
      <c r="H15" s="353">
        <v>0</v>
      </c>
      <c r="I15" s="353">
        <v>16</v>
      </c>
      <c r="J15" s="353">
        <v>126</v>
      </c>
      <c r="K15" s="353">
        <v>0</v>
      </c>
      <c r="L15" s="353">
        <v>0</v>
      </c>
      <c r="M15" s="353">
        <v>21</v>
      </c>
      <c r="N15" s="353">
        <v>38</v>
      </c>
      <c r="O15" s="353">
        <f t="shared" si="0"/>
        <v>119</v>
      </c>
      <c r="P15" s="353">
        <f t="shared" si="1"/>
        <v>516</v>
      </c>
    </row>
    <row r="16" spans="1:16" ht="15" customHeight="1" x14ac:dyDescent="0.2">
      <c r="A16" s="350">
        <v>11</v>
      </c>
      <c r="B16" s="351" t="s">
        <v>82</v>
      </c>
      <c r="C16" s="353">
        <v>5</v>
      </c>
      <c r="D16" s="353">
        <v>33</v>
      </c>
      <c r="E16" s="353">
        <v>94</v>
      </c>
      <c r="F16" s="353">
        <v>281</v>
      </c>
      <c r="G16" s="353">
        <v>13</v>
      </c>
      <c r="H16" s="353">
        <v>78</v>
      </c>
      <c r="I16" s="353">
        <v>13</v>
      </c>
      <c r="J16" s="353">
        <v>207</v>
      </c>
      <c r="K16" s="353">
        <v>2</v>
      </c>
      <c r="L16" s="353">
        <v>8</v>
      </c>
      <c r="M16" s="353">
        <v>117</v>
      </c>
      <c r="N16" s="353">
        <v>1464</v>
      </c>
      <c r="O16" s="353">
        <f t="shared" si="0"/>
        <v>244</v>
      </c>
      <c r="P16" s="353">
        <f t="shared" si="1"/>
        <v>2071</v>
      </c>
    </row>
    <row r="17" spans="1:16" ht="15" customHeight="1" x14ac:dyDescent="0.2">
      <c r="A17" s="350">
        <v>12</v>
      </c>
      <c r="B17" s="351" t="s">
        <v>63</v>
      </c>
      <c r="C17" s="353">
        <v>29</v>
      </c>
      <c r="D17" s="353">
        <v>15.23</v>
      </c>
      <c r="E17" s="353">
        <v>57</v>
      </c>
      <c r="F17" s="353">
        <v>64.19</v>
      </c>
      <c r="G17" s="353">
        <v>0</v>
      </c>
      <c r="H17" s="353">
        <v>0</v>
      </c>
      <c r="I17" s="353">
        <v>17</v>
      </c>
      <c r="J17" s="353">
        <v>32.1</v>
      </c>
      <c r="K17" s="353">
        <v>0</v>
      </c>
      <c r="L17" s="353">
        <v>0</v>
      </c>
      <c r="M17" s="353">
        <v>0</v>
      </c>
      <c r="N17" s="353">
        <v>0</v>
      </c>
      <c r="O17" s="353">
        <f t="shared" si="0"/>
        <v>103</v>
      </c>
      <c r="P17" s="353">
        <f t="shared" si="1"/>
        <v>111.52000000000001</v>
      </c>
    </row>
    <row r="18" spans="1:16" ht="15" customHeight="1" x14ac:dyDescent="0.2">
      <c r="A18" s="350">
        <v>13</v>
      </c>
      <c r="B18" s="351" t="s">
        <v>64</v>
      </c>
      <c r="C18" s="353">
        <v>0</v>
      </c>
      <c r="D18" s="353">
        <v>0</v>
      </c>
      <c r="E18" s="353">
        <v>6</v>
      </c>
      <c r="F18" s="353">
        <v>18</v>
      </c>
      <c r="G18" s="353">
        <v>0</v>
      </c>
      <c r="H18" s="353">
        <v>0</v>
      </c>
      <c r="I18" s="353">
        <v>1</v>
      </c>
      <c r="J18" s="353">
        <v>8</v>
      </c>
      <c r="K18" s="353">
        <v>0</v>
      </c>
      <c r="L18" s="353">
        <v>0</v>
      </c>
      <c r="M18" s="353">
        <v>1</v>
      </c>
      <c r="N18" s="353">
        <v>5</v>
      </c>
      <c r="O18" s="353">
        <f t="shared" si="0"/>
        <v>8</v>
      </c>
      <c r="P18" s="353">
        <f t="shared" si="1"/>
        <v>31</v>
      </c>
    </row>
    <row r="19" spans="1:16" ht="15" customHeight="1" x14ac:dyDescent="0.2">
      <c r="A19" s="350">
        <v>14</v>
      </c>
      <c r="B19" s="355" t="s">
        <v>208</v>
      </c>
      <c r="C19" s="353">
        <v>11</v>
      </c>
      <c r="D19" s="353">
        <v>30.34</v>
      </c>
      <c r="E19" s="353">
        <v>138</v>
      </c>
      <c r="F19" s="353">
        <v>385.45</v>
      </c>
      <c r="G19" s="353">
        <v>0</v>
      </c>
      <c r="H19" s="353">
        <v>0</v>
      </c>
      <c r="I19" s="353">
        <v>20</v>
      </c>
      <c r="J19" s="353">
        <v>83.35</v>
      </c>
      <c r="K19" s="353">
        <v>0</v>
      </c>
      <c r="L19" s="353">
        <v>0</v>
      </c>
      <c r="M19" s="353">
        <v>56</v>
      </c>
      <c r="N19" s="353">
        <v>901.54</v>
      </c>
      <c r="O19" s="353">
        <f t="shared" si="0"/>
        <v>225</v>
      </c>
      <c r="P19" s="353">
        <f t="shared" si="1"/>
        <v>1400.6799999999998</v>
      </c>
    </row>
    <row r="20" spans="1:16" ht="15" customHeight="1" x14ac:dyDescent="0.2">
      <c r="A20" s="350">
        <v>15</v>
      </c>
      <c r="B20" s="351" t="s">
        <v>209</v>
      </c>
      <c r="C20" s="353">
        <v>0</v>
      </c>
      <c r="D20" s="353">
        <v>0</v>
      </c>
      <c r="E20" s="353">
        <v>15</v>
      </c>
      <c r="F20" s="353">
        <v>107</v>
      </c>
      <c r="G20" s="353">
        <v>0</v>
      </c>
      <c r="H20" s="353">
        <v>0</v>
      </c>
      <c r="I20" s="353">
        <v>27</v>
      </c>
      <c r="J20" s="353">
        <v>128</v>
      </c>
      <c r="K20" s="353">
        <v>0</v>
      </c>
      <c r="L20" s="353">
        <v>0</v>
      </c>
      <c r="M20" s="353">
        <v>1</v>
      </c>
      <c r="N20" s="353">
        <v>2</v>
      </c>
      <c r="O20" s="353">
        <f t="shared" si="0"/>
        <v>43</v>
      </c>
      <c r="P20" s="353">
        <f t="shared" si="1"/>
        <v>237</v>
      </c>
    </row>
    <row r="21" spans="1:16" ht="15" customHeight="1" x14ac:dyDescent="0.2">
      <c r="A21" s="350">
        <v>16</v>
      </c>
      <c r="B21" s="351" t="s">
        <v>65</v>
      </c>
      <c r="C21" s="353">
        <v>173</v>
      </c>
      <c r="D21" s="353">
        <v>605.41999999999996</v>
      </c>
      <c r="E21" s="353">
        <v>2246</v>
      </c>
      <c r="F21" s="353">
        <v>8375.68</v>
      </c>
      <c r="G21" s="353">
        <v>12</v>
      </c>
      <c r="H21" s="353">
        <v>22.7</v>
      </c>
      <c r="I21" s="353">
        <v>311</v>
      </c>
      <c r="J21" s="353">
        <v>5106.2</v>
      </c>
      <c r="K21" s="353">
        <v>3</v>
      </c>
      <c r="L21" s="353">
        <v>2.46</v>
      </c>
      <c r="M21" s="353">
        <v>559</v>
      </c>
      <c r="N21" s="353">
        <v>5316.27</v>
      </c>
      <c r="O21" s="353">
        <f t="shared" si="0"/>
        <v>3304</v>
      </c>
      <c r="P21" s="353">
        <f t="shared" si="1"/>
        <v>19428.73</v>
      </c>
    </row>
    <row r="22" spans="1:16" ht="15" customHeight="1" x14ac:dyDescent="0.2">
      <c r="A22" s="350">
        <v>17</v>
      </c>
      <c r="B22" s="355" t="s">
        <v>70</v>
      </c>
      <c r="C22" s="353">
        <v>18</v>
      </c>
      <c r="D22" s="353">
        <v>48.14</v>
      </c>
      <c r="E22" s="353">
        <v>47</v>
      </c>
      <c r="F22" s="353">
        <v>235.41</v>
      </c>
      <c r="G22" s="353">
        <v>0</v>
      </c>
      <c r="H22" s="353">
        <v>0</v>
      </c>
      <c r="I22" s="353">
        <v>7</v>
      </c>
      <c r="J22" s="353">
        <v>21</v>
      </c>
      <c r="K22" s="353">
        <v>0</v>
      </c>
      <c r="L22" s="353">
        <v>0</v>
      </c>
      <c r="M22" s="353">
        <v>8</v>
      </c>
      <c r="N22" s="353">
        <v>48.7</v>
      </c>
      <c r="O22" s="353">
        <f t="shared" si="0"/>
        <v>80</v>
      </c>
      <c r="P22" s="353">
        <f t="shared" si="1"/>
        <v>353.25</v>
      </c>
    </row>
    <row r="23" spans="1:16" ht="15" customHeight="1" x14ac:dyDescent="0.2">
      <c r="A23" s="350">
        <v>18</v>
      </c>
      <c r="B23" s="351" t="s">
        <v>210</v>
      </c>
      <c r="C23" s="353">
        <v>0</v>
      </c>
      <c r="D23" s="353">
        <v>0</v>
      </c>
      <c r="E23" s="353">
        <v>0</v>
      </c>
      <c r="F23" s="353">
        <v>0</v>
      </c>
      <c r="G23" s="353">
        <v>0</v>
      </c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53">
        <v>0</v>
      </c>
      <c r="N23" s="353">
        <v>0</v>
      </c>
      <c r="O23" s="353">
        <f t="shared" si="0"/>
        <v>0</v>
      </c>
      <c r="P23" s="353">
        <f t="shared" si="1"/>
        <v>0</v>
      </c>
    </row>
    <row r="24" spans="1:16" ht="15" customHeight="1" x14ac:dyDescent="0.2">
      <c r="A24" s="350">
        <v>19</v>
      </c>
      <c r="B24" s="356" t="s">
        <v>211</v>
      </c>
      <c r="C24" s="353">
        <v>1</v>
      </c>
      <c r="D24" s="353">
        <v>10</v>
      </c>
      <c r="E24" s="353">
        <v>4</v>
      </c>
      <c r="F24" s="353">
        <v>20</v>
      </c>
      <c r="G24" s="353">
        <v>0</v>
      </c>
      <c r="H24" s="353">
        <v>0</v>
      </c>
      <c r="I24" s="353">
        <v>4</v>
      </c>
      <c r="J24" s="353">
        <v>20</v>
      </c>
      <c r="K24" s="353">
        <v>0</v>
      </c>
      <c r="L24" s="353">
        <v>0</v>
      </c>
      <c r="M24" s="353">
        <v>4</v>
      </c>
      <c r="N24" s="353">
        <v>25</v>
      </c>
      <c r="O24" s="353">
        <f t="shared" si="0"/>
        <v>13</v>
      </c>
      <c r="P24" s="353">
        <f t="shared" si="1"/>
        <v>75</v>
      </c>
    </row>
    <row r="25" spans="1:16" ht="15" customHeight="1" x14ac:dyDescent="0.2">
      <c r="A25" s="350">
        <v>20</v>
      </c>
      <c r="B25" s="351" t="s">
        <v>212</v>
      </c>
      <c r="C25" s="353">
        <v>32</v>
      </c>
      <c r="D25" s="353">
        <v>569</v>
      </c>
      <c r="E25" s="353">
        <v>26</v>
      </c>
      <c r="F25" s="353">
        <v>451</v>
      </c>
      <c r="G25" s="353">
        <v>3</v>
      </c>
      <c r="H25" s="353">
        <v>45</v>
      </c>
      <c r="I25" s="353">
        <v>15</v>
      </c>
      <c r="J25" s="353">
        <v>15</v>
      </c>
      <c r="K25" s="353">
        <v>0</v>
      </c>
      <c r="L25" s="353">
        <v>0</v>
      </c>
      <c r="M25" s="353">
        <v>0</v>
      </c>
      <c r="N25" s="353">
        <v>0</v>
      </c>
      <c r="O25" s="353">
        <f t="shared" si="0"/>
        <v>76</v>
      </c>
      <c r="P25" s="353">
        <f t="shared" si="1"/>
        <v>1080</v>
      </c>
    </row>
    <row r="26" spans="1:16" ht="15" customHeight="1" x14ac:dyDescent="0.2">
      <c r="A26" s="350">
        <v>21</v>
      </c>
      <c r="B26" s="351" t="s">
        <v>213</v>
      </c>
      <c r="C26" s="353">
        <v>0</v>
      </c>
      <c r="D26" s="353">
        <v>0</v>
      </c>
      <c r="E26" s="353">
        <v>0</v>
      </c>
      <c r="F26" s="353">
        <v>0</v>
      </c>
      <c r="G26" s="353">
        <v>0</v>
      </c>
      <c r="H26" s="353">
        <v>0</v>
      </c>
      <c r="I26" s="353">
        <v>0</v>
      </c>
      <c r="J26" s="353">
        <v>0</v>
      </c>
      <c r="K26" s="353">
        <v>0</v>
      </c>
      <c r="L26" s="353">
        <v>0</v>
      </c>
      <c r="M26" s="353">
        <v>0</v>
      </c>
      <c r="N26" s="353">
        <v>0</v>
      </c>
      <c r="O26" s="353">
        <f t="shared" si="0"/>
        <v>0</v>
      </c>
      <c r="P26" s="353">
        <f t="shared" si="1"/>
        <v>0</v>
      </c>
    </row>
    <row r="27" spans="1:16" ht="15" customHeight="1" x14ac:dyDescent="0.2">
      <c r="A27" s="350">
        <v>22</v>
      </c>
      <c r="B27" s="351" t="s">
        <v>71</v>
      </c>
      <c r="C27" s="353">
        <v>116</v>
      </c>
      <c r="D27" s="353">
        <v>140</v>
      </c>
      <c r="E27" s="353">
        <v>392</v>
      </c>
      <c r="F27" s="353">
        <v>261</v>
      </c>
      <c r="G27" s="353">
        <v>58</v>
      </c>
      <c r="H27" s="353">
        <v>45</v>
      </c>
      <c r="I27" s="353">
        <v>86</v>
      </c>
      <c r="J27" s="353">
        <v>180</v>
      </c>
      <c r="K27" s="353">
        <v>8</v>
      </c>
      <c r="L27" s="353">
        <v>7</v>
      </c>
      <c r="M27" s="353">
        <v>256</v>
      </c>
      <c r="N27" s="353">
        <v>325</v>
      </c>
      <c r="O27" s="353">
        <f t="shared" si="0"/>
        <v>916</v>
      </c>
      <c r="P27" s="353">
        <f t="shared" si="1"/>
        <v>958</v>
      </c>
    </row>
    <row r="28" spans="1:16" ht="15" customHeight="1" x14ac:dyDescent="0.2">
      <c r="A28" s="350">
        <v>23</v>
      </c>
      <c r="B28" s="351" t="s">
        <v>66</v>
      </c>
      <c r="C28" s="353">
        <v>8</v>
      </c>
      <c r="D28" s="353">
        <v>86</v>
      </c>
      <c r="E28" s="353">
        <v>301</v>
      </c>
      <c r="F28" s="353">
        <v>816</v>
      </c>
      <c r="G28" s="353">
        <v>1</v>
      </c>
      <c r="H28" s="353">
        <v>1</v>
      </c>
      <c r="I28" s="353">
        <v>13</v>
      </c>
      <c r="J28" s="353">
        <v>425</v>
      </c>
      <c r="K28" s="353">
        <v>0</v>
      </c>
      <c r="L28" s="353">
        <v>0</v>
      </c>
      <c r="M28" s="353">
        <v>64</v>
      </c>
      <c r="N28" s="353">
        <v>415</v>
      </c>
      <c r="O28" s="353">
        <f t="shared" si="0"/>
        <v>387</v>
      </c>
      <c r="P28" s="353">
        <f t="shared" si="1"/>
        <v>1743</v>
      </c>
    </row>
    <row r="29" spans="1:16" ht="15" customHeight="1" x14ac:dyDescent="0.2">
      <c r="A29" s="350">
        <v>24</v>
      </c>
      <c r="B29" s="351" t="s">
        <v>214</v>
      </c>
      <c r="C29" s="353">
        <v>4</v>
      </c>
      <c r="D29" s="353">
        <v>22</v>
      </c>
      <c r="E29" s="353">
        <v>52</v>
      </c>
      <c r="F29" s="353">
        <v>99</v>
      </c>
      <c r="G29" s="353">
        <v>0</v>
      </c>
      <c r="H29" s="353">
        <v>0</v>
      </c>
      <c r="I29" s="353">
        <v>19</v>
      </c>
      <c r="J29" s="353">
        <v>79</v>
      </c>
      <c r="K29" s="353">
        <v>0</v>
      </c>
      <c r="L29" s="353">
        <v>0</v>
      </c>
      <c r="M29" s="353">
        <v>49</v>
      </c>
      <c r="N29" s="353">
        <v>178</v>
      </c>
      <c r="O29" s="353">
        <f t="shared" si="0"/>
        <v>124</v>
      </c>
      <c r="P29" s="353">
        <f t="shared" si="1"/>
        <v>378</v>
      </c>
    </row>
    <row r="30" spans="1:16" ht="15" customHeight="1" x14ac:dyDescent="0.2">
      <c r="A30" s="350">
        <v>25</v>
      </c>
      <c r="B30" s="351" t="s">
        <v>67</v>
      </c>
      <c r="C30" s="353">
        <v>158</v>
      </c>
      <c r="D30" s="353">
        <v>604.41999999999996</v>
      </c>
      <c r="E30" s="353">
        <v>1816</v>
      </c>
      <c r="F30" s="353">
        <v>7195.32</v>
      </c>
      <c r="G30" s="353">
        <v>17</v>
      </c>
      <c r="H30" s="353">
        <v>27.23</v>
      </c>
      <c r="I30" s="353">
        <v>239</v>
      </c>
      <c r="J30" s="353">
        <v>4822</v>
      </c>
      <c r="K30" s="353">
        <v>0</v>
      </c>
      <c r="L30" s="353">
        <v>0</v>
      </c>
      <c r="M30" s="353">
        <v>463</v>
      </c>
      <c r="N30" s="353">
        <v>4382.2</v>
      </c>
      <c r="O30" s="353">
        <f t="shared" si="0"/>
        <v>2693</v>
      </c>
      <c r="P30" s="353">
        <f t="shared" si="1"/>
        <v>17031.169999999998</v>
      </c>
    </row>
    <row r="31" spans="1:16" ht="15" customHeight="1" x14ac:dyDescent="0.2">
      <c r="A31" s="350">
        <v>26</v>
      </c>
      <c r="B31" s="354" t="s">
        <v>68</v>
      </c>
      <c r="C31" s="353">
        <v>2</v>
      </c>
      <c r="D31" s="353">
        <v>4</v>
      </c>
      <c r="E31" s="353">
        <v>14</v>
      </c>
      <c r="F31" s="353">
        <v>26</v>
      </c>
      <c r="G31" s="353">
        <v>0</v>
      </c>
      <c r="H31" s="353">
        <v>0</v>
      </c>
      <c r="I31" s="353">
        <v>3</v>
      </c>
      <c r="J31" s="353">
        <v>8</v>
      </c>
      <c r="K31" s="353">
        <v>0</v>
      </c>
      <c r="L31" s="353">
        <v>0</v>
      </c>
      <c r="M31" s="353">
        <v>0</v>
      </c>
      <c r="N31" s="353">
        <v>0</v>
      </c>
      <c r="O31" s="353">
        <f t="shared" si="0"/>
        <v>19</v>
      </c>
      <c r="P31" s="353">
        <f t="shared" si="1"/>
        <v>38</v>
      </c>
    </row>
    <row r="32" spans="1:16" ht="15" customHeight="1" x14ac:dyDescent="0.2">
      <c r="A32" s="350">
        <v>27</v>
      </c>
      <c r="B32" s="351" t="s">
        <v>51</v>
      </c>
      <c r="C32" s="353">
        <v>7</v>
      </c>
      <c r="D32" s="353">
        <v>14.92</v>
      </c>
      <c r="E32" s="353">
        <v>6</v>
      </c>
      <c r="F32" s="353">
        <v>16.7</v>
      </c>
      <c r="G32" s="353">
        <v>0</v>
      </c>
      <c r="H32" s="353">
        <v>0</v>
      </c>
      <c r="I32" s="353">
        <v>0</v>
      </c>
      <c r="J32" s="353">
        <v>0</v>
      </c>
      <c r="K32" s="353">
        <v>0</v>
      </c>
      <c r="L32" s="353">
        <v>0</v>
      </c>
      <c r="M32" s="353">
        <v>1</v>
      </c>
      <c r="N32" s="353">
        <v>3</v>
      </c>
      <c r="O32" s="353">
        <f t="shared" si="0"/>
        <v>14</v>
      </c>
      <c r="P32" s="353">
        <f t="shared" si="1"/>
        <v>34.619999999999997</v>
      </c>
    </row>
    <row r="33" spans="1:18" s="342" customFormat="1" ht="15" customHeight="1" x14ac:dyDescent="0.2">
      <c r="A33" s="359" t="s">
        <v>488</v>
      </c>
      <c r="B33" s="360" t="s">
        <v>407</v>
      </c>
      <c r="C33" s="357">
        <f>SUM(C6:C32)</f>
        <v>1995</v>
      </c>
      <c r="D33" s="357">
        <f t="shared" ref="D33:N33" si="2">SUM(D6:D32)</f>
        <v>5922.02</v>
      </c>
      <c r="E33" s="357">
        <f t="shared" si="2"/>
        <v>24428</v>
      </c>
      <c r="F33" s="357">
        <f t="shared" si="2"/>
        <v>42318.57</v>
      </c>
      <c r="G33" s="357">
        <f t="shared" si="2"/>
        <v>149</v>
      </c>
      <c r="H33" s="357">
        <f t="shared" si="2"/>
        <v>370.93</v>
      </c>
      <c r="I33" s="357">
        <f t="shared" si="2"/>
        <v>2581</v>
      </c>
      <c r="J33" s="357">
        <f t="shared" si="2"/>
        <v>35051.199999999997</v>
      </c>
      <c r="K33" s="357">
        <f t="shared" si="2"/>
        <v>16</v>
      </c>
      <c r="L33" s="357">
        <f t="shared" si="2"/>
        <v>23.46</v>
      </c>
      <c r="M33" s="357">
        <f t="shared" si="2"/>
        <v>2681</v>
      </c>
      <c r="N33" s="357">
        <f t="shared" si="2"/>
        <v>23779.710000000003</v>
      </c>
      <c r="O33" s="357">
        <f t="shared" ref="O33" si="3">SUM(O6:O32)</f>
        <v>31850</v>
      </c>
      <c r="P33" s="357">
        <f t="shared" ref="P33" si="4">SUM(P6:P32)</f>
        <v>107465.88999999998</v>
      </c>
      <c r="Q33" s="348"/>
      <c r="R33" s="348"/>
    </row>
    <row r="34" spans="1:18" ht="15" customHeight="1" x14ac:dyDescent="0.2">
      <c r="A34" s="350">
        <v>28</v>
      </c>
      <c r="B34" s="351" t="s">
        <v>48</v>
      </c>
      <c r="C34" s="353">
        <v>5</v>
      </c>
      <c r="D34" s="353">
        <v>9.51</v>
      </c>
      <c r="E34" s="353">
        <v>516</v>
      </c>
      <c r="F34" s="353">
        <v>1290.8900000000001</v>
      </c>
      <c r="G34" s="353">
        <v>0</v>
      </c>
      <c r="H34" s="353">
        <v>0</v>
      </c>
      <c r="I34" s="353">
        <v>71</v>
      </c>
      <c r="J34" s="353">
        <v>373.38</v>
      </c>
      <c r="K34" s="353">
        <v>0</v>
      </c>
      <c r="L34" s="353">
        <v>0</v>
      </c>
      <c r="M34" s="353">
        <v>0</v>
      </c>
      <c r="N34" s="353">
        <v>0</v>
      </c>
      <c r="O34" s="353">
        <f t="shared" ref="O34:O61" si="5">C34+E34+G34+I34+K34+M34</f>
        <v>592</v>
      </c>
      <c r="P34" s="353">
        <f t="shared" ref="P34:P61" si="6">D34+F34+H34+J34+L34+N34</f>
        <v>1673.7800000000002</v>
      </c>
    </row>
    <row r="35" spans="1:18" ht="15" customHeight="1" x14ac:dyDescent="0.2">
      <c r="A35" s="350">
        <v>29</v>
      </c>
      <c r="B35" s="351" t="s">
        <v>216</v>
      </c>
      <c r="C35" s="353">
        <v>0</v>
      </c>
      <c r="D35" s="353">
        <v>0</v>
      </c>
      <c r="E35" s="353">
        <v>0</v>
      </c>
      <c r="F35" s="353">
        <v>0</v>
      </c>
      <c r="G35" s="353">
        <v>0</v>
      </c>
      <c r="H35" s="353">
        <v>0</v>
      </c>
      <c r="I35" s="353">
        <v>0</v>
      </c>
      <c r="J35" s="353">
        <v>0</v>
      </c>
      <c r="K35" s="353">
        <v>0</v>
      </c>
      <c r="L35" s="353">
        <v>0</v>
      </c>
      <c r="M35" s="353">
        <v>0</v>
      </c>
      <c r="N35" s="353">
        <v>0</v>
      </c>
      <c r="O35" s="353">
        <f t="shared" si="5"/>
        <v>0</v>
      </c>
      <c r="P35" s="353">
        <f t="shared" si="6"/>
        <v>0</v>
      </c>
    </row>
    <row r="36" spans="1:18" ht="15" customHeight="1" x14ac:dyDescent="0.2">
      <c r="A36" s="350">
        <v>30</v>
      </c>
      <c r="B36" s="351" t="s">
        <v>217</v>
      </c>
      <c r="C36" s="353">
        <v>0</v>
      </c>
      <c r="D36" s="353">
        <v>0</v>
      </c>
      <c r="E36" s="353">
        <v>0</v>
      </c>
      <c r="F36" s="353">
        <v>0</v>
      </c>
      <c r="G36" s="353">
        <v>0</v>
      </c>
      <c r="H36" s="353">
        <v>0</v>
      </c>
      <c r="I36" s="353">
        <v>0</v>
      </c>
      <c r="J36" s="353">
        <v>0</v>
      </c>
      <c r="K36" s="353">
        <v>0</v>
      </c>
      <c r="L36" s="353">
        <v>0</v>
      </c>
      <c r="M36" s="353">
        <v>0</v>
      </c>
      <c r="N36" s="353">
        <v>0</v>
      </c>
      <c r="O36" s="353">
        <f t="shared" si="5"/>
        <v>0</v>
      </c>
      <c r="P36" s="353">
        <f t="shared" si="6"/>
        <v>0</v>
      </c>
    </row>
    <row r="37" spans="1:18" ht="15" customHeight="1" x14ac:dyDescent="0.2">
      <c r="A37" s="350">
        <v>31</v>
      </c>
      <c r="B37" s="351" t="s">
        <v>79</v>
      </c>
      <c r="C37" s="353">
        <v>0</v>
      </c>
      <c r="D37" s="353">
        <v>0</v>
      </c>
      <c r="E37" s="353">
        <v>0</v>
      </c>
      <c r="F37" s="353">
        <v>0</v>
      </c>
      <c r="G37" s="353">
        <v>0</v>
      </c>
      <c r="H37" s="353">
        <v>0</v>
      </c>
      <c r="I37" s="353">
        <v>0</v>
      </c>
      <c r="J37" s="353">
        <v>0</v>
      </c>
      <c r="K37" s="353">
        <v>0</v>
      </c>
      <c r="L37" s="353">
        <v>0</v>
      </c>
      <c r="M37" s="353">
        <v>0</v>
      </c>
      <c r="N37" s="353">
        <v>0</v>
      </c>
      <c r="O37" s="353">
        <f t="shared" si="5"/>
        <v>0</v>
      </c>
      <c r="P37" s="353">
        <f t="shared" si="6"/>
        <v>0</v>
      </c>
    </row>
    <row r="38" spans="1:18" ht="15" customHeight="1" x14ac:dyDescent="0.2">
      <c r="A38" s="350">
        <v>32</v>
      </c>
      <c r="B38" s="351" t="s">
        <v>52</v>
      </c>
      <c r="C38" s="353">
        <v>0</v>
      </c>
      <c r="D38" s="353">
        <v>0</v>
      </c>
      <c r="E38" s="353">
        <v>0</v>
      </c>
      <c r="F38" s="353">
        <v>0</v>
      </c>
      <c r="G38" s="353">
        <v>0</v>
      </c>
      <c r="H38" s="353">
        <v>0</v>
      </c>
      <c r="I38" s="353">
        <v>0</v>
      </c>
      <c r="J38" s="353">
        <v>0</v>
      </c>
      <c r="K38" s="353">
        <v>0</v>
      </c>
      <c r="L38" s="353">
        <v>0</v>
      </c>
      <c r="M38" s="353">
        <v>0</v>
      </c>
      <c r="N38" s="353">
        <v>0</v>
      </c>
      <c r="O38" s="353">
        <f t="shared" si="5"/>
        <v>0</v>
      </c>
      <c r="P38" s="353">
        <f t="shared" si="6"/>
        <v>0</v>
      </c>
    </row>
    <row r="39" spans="1:18" ht="15" customHeight="1" x14ac:dyDescent="0.2">
      <c r="A39" s="350">
        <v>33</v>
      </c>
      <c r="B39" s="351" t="s">
        <v>218</v>
      </c>
      <c r="C39" s="353">
        <v>0</v>
      </c>
      <c r="D39" s="353">
        <v>0</v>
      </c>
      <c r="E39" s="353">
        <v>0</v>
      </c>
      <c r="F39" s="353">
        <v>0</v>
      </c>
      <c r="G39" s="353">
        <v>0</v>
      </c>
      <c r="H39" s="353">
        <v>0</v>
      </c>
      <c r="I39" s="353">
        <v>0</v>
      </c>
      <c r="J39" s="353">
        <v>0</v>
      </c>
      <c r="K39" s="353">
        <v>0</v>
      </c>
      <c r="L39" s="353">
        <v>0</v>
      </c>
      <c r="M39" s="353">
        <v>0</v>
      </c>
      <c r="N39" s="353">
        <v>0</v>
      </c>
      <c r="O39" s="353">
        <f t="shared" si="5"/>
        <v>0</v>
      </c>
      <c r="P39" s="353">
        <f t="shared" si="6"/>
        <v>0</v>
      </c>
    </row>
    <row r="40" spans="1:18" ht="15" customHeight="1" x14ac:dyDescent="0.2">
      <c r="A40" s="350">
        <v>34</v>
      </c>
      <c r="B40" s="351" t="s">
        <v>219</v>
      </c>
      <c r="C40" s="353">
        <v>0</v>
      </c>
      <c r="D40" s="353">
        <v>0</v>
      </c>
      <c r="E40" s="353">
        <v>0</v>
      </c>
      <c r="F40" s="353">
        <v>0</v>
      </c>
      <c r="G40" s="353">
        <v>0</v>
      </c>
      <c r="H40" s="353">
        <v>0</v>
      </c>
      <c r="I40" s="353">
        <v>0</v>
      </c>
      <c r="J40" s="353">
        <v>0</v>
      </c>
      <c r="K40" s="353">
        <v>0</v>
      </c>
      <c r="L40" s="353">
        <v>0</v>
      </c>
      <c r="M40" s="353">
        <v>0</v>
      </c>
      <c r="N40" s="353">
        <v>0</v>
      </c>
      <c r="O40" s="353">
        <f t="shared" si="5"/>
        <v>0</v>
      </c>
      <c r="P40" s="353">
        <f t="shared" si="6"/>
        <v>0</v>
      </c>
    </row>
    <row r="41" spans="1:18" ht="15" customHeight="1" x14ac:dyDescent="0.2">
      <c r="A41" s="350">
        <v>35</v>
      </c>
      <c r="B41" s="351" t="s">
        <v>220</v>
      </c>
      <c r="C41" s="353">
        <v>62</v>
      </c>
      <c r="D41" s="353">
        <v>503.2</v>
      </c>
      <c r="E41" s="353">
        <v>75</v>
      </c>
      <c r="F41" s="353">
        <v>177.66</v>
      </c>
      <c r="G41" s="353">
        <v>0</v>
      </c>
      <c r="H41" s="353">
        <v>0</v>
      </c>
      <c r="I41" s="353">
        <v>17</v>
      </c>
      <c r="J41" s="353">
        <v>42.24</v>
      </c>
      <c r="K41" s="353">
        <v>2</v>
      </c>
      <c r="L41" s="353">
        <v>5.95</v>
      </c>
      <c r="M41" s="353">
        <v>0</v>
      </c>
      <c r="N41" s="353">
        <v>0</v>
      </c>
      <c r="O41" s="353">
        <f t="shared" si="5"/>
        <v>156</v>
      </c>
      <c r="P41" s="353">
        <f t="shared" si="6"/>
        <v>729.05000000000007</v>
      </c>
    </row>
    <row r="42" spans="1:18" ht="15" customHeight="1" x14ac:dyDescent="0.2">
      <c r="A42" s="350">
        <v>36</v>
      </c>
      <c r="B42" s="351" t="s">
        <v>72</v>
      </c>
      <c r="C42" s="353">
        <v>44</v>
      </c>
      <c r="D42" s="353">
        <v>44</v>
      </c>
      <c r="E42" s="353">
        <v>3916</v>
      </c>
      <c r="F42" s="353">
        <v>3239</v>
      </c>
      <c r="G42" s="353">
        <v>2</v>
      </c>
      <c r="H42" s="353">
        <v>0</v>
      </c>
      <c r="I42" s="353">
        <v>207</v>
      </c>
      <c r="J42" s="353">
        <v>908</v>
      </c>
      <c r="K42" s="353">
        <v>1</v>
      </c>
      <c r="L42" s="353">
        <v>0</v>
      </c>
      <c r="M42" s="353">
        <v>51</v>
      </c>
      <c r="N42" s="353">
        <v>127</v>
      </c>
      <c r="O42" s="353">
        <f t="shared" si="5"/>
        <v>4221</v>
      </c>
      <c r="P42" s="353">
        <f t="shared" si="6"/>
        <v>4318</v>
      </c>
    </row>
    <row r="43" spans="1:18" ht="15" customHeight="1" x14ac:dyDescent="0.2">
      <c r="A43" s="350">
        <v>37</v>
      </c>
      <c r="B43" s="351" t="s">
        <v>73</v>
      </c>
      <c r="C43" s="353">
        <v>75</v>
      </c>
      <c r="D43" s="353">
        <v>178.98</v>
      </c>
      <c r="E43" s="353">
        <v>2402</v>
      </c>
      <c r="F43" s="353">
        <v>4680.4799999999996</v>
      </c>
      <c r="G43" s="353">
        <v>13</v>
      </c>
      <c r="H43" s="353">
        <v>47.16</v>
      </c>
      <c r="I43" s="353">
        <v>290</v>
      </c>
      <c r="J43" s="353">
        <v>1523.24</v>
      </c>
      <c r="K43" s="353">
        <v>157</v>
      </c>
      <c r="L43" s="353">
        <v>162.29</v>
      </c>
      <c r="M43" s="353">
        <v>80</v>
      </c>
      <c r="N43" s="353">
        <v>1195.79</v>
      </c>
      <c r="O43" s="353">
        <f t="shared" si="5"/>
        <v>3017</v>
      </c>
      <c r="P43" s="353">
        <f t="shared" si="6"/>
        <v>7787.9399999999987</v>
      </c>
    </row>
    <row r="44" spans="1:18" ht="15" customHeight="1" x14ac:dyDescent="0.2">
      <c r="A44" s="350">
        <v>38</v>
      </c>
      <c r="B44" s="351" t="s">
        <v>221</v>
      </c>
      <c r="C44" s="353">
        <v>0</v>
      </c>
      <c r="D44" s="353">
        <v>0</v>
      </c>
      <c r="E44" s="353">
        <v>0</v>
      </c>
      <c r="F44" s="353">
        <v>0</v>
      </c>
      <c r="G44" s="353">
        <v>0</v>
      </c>
      <c r="H44" s="353">
        <v>0</v>
      </c>
      <c r="I44" s="353">
        <v>0</v>
      </c>
      <c r="J44" s="353">
        <v>0</v>
      </c>
      <c r="K44" s="353">
        <v>0</v>
      </c>
      <c r="L44" s="353">
        <v>0</v>
      </c>
      <c r="M44" s="353">
        <v>0</v>
      </c>
      <c r="N44" s="353">
        <v>0</v>
      </c>
      <c r="O44" s="353">
        <f t="shared" si="5"/>
        <v>0</v>
      </c>
      <c r="P44" s="353">
        <f t="shared" si="6"/>
        <v>0</v>
      </c>
    </row>
    <row r="45" spans="1:18" ht="15" customHeight="1" x14ac:dyDescent="0.2">
      <c r="A45" s="350">
        <v>39</v>
      </c>
      <c r="B45" s="351" t="s">
        <v>222</v>
      </c>
      <c r="C45" s="353">
        <v>13</v>
      </c>
      <c r="D45" s="353">
        <v>15</v>
      </c>
      <c r="E45" s="353">
        <v>818</v>
      </c>
      <c r="F45" s="353">
        <v>1780</v>
      </c>
      <c r="G45" s="353">
        <v>0</v>
      </c>
      <c r="H45" s="353">
        <v>0</v>
      </c>
      <c r="I45" s="353">
        <v>27</v>
      </c>
      <c r="J45" s="353">
        <v>179</v>
      </c>
      <c r="K45" s="353">
        <v>0</v>
      </c>
      <c r="L45" s="353">
        <v>0</v>
      </c>
      <c r="M45" s="353">
        <v>77</v>
      </c>
      <c r="N45" s="353">
        <v>313</v>
      </c>
      <c r="O45" s="353">
        <f t="shared" si="5"/>
        <v>935</v>
      </c>
      <c r="P45" s="353">
        <f t="shared" si="6"/>
        <v>2287</v>
      </c>
    </row>
    <row r="46" spans="1:18" ht="15" customHeight="1" x14ac:dyDescent="0.2">
      <c r="A46" s="350">
        <v>40</v>
      </c>
      <c r="B46" s="351" t="s">
        <v>223</v>
      </c>
      <c r="C46" s="353">
        <v>0</v>
      </c>
      <c r="D46" s="353">
        <v>0</v>
      </c>
      <c r="E46" s="353">
        <v>0</v>
      </c>
      <c r="F46" s="353">
        <v>0</v>
      </c>
      <c r="G46" s="353">
        <v>0</v>
      </c>
      <c r="H46" s="353">
        <v>0</v>
      </c>
      <c r="I46" s="353">
        <v>0</v>
      </c>
      <c r="J46" s="353">
        <v>0</v>
      </c>
      <c r="K46" s="353">
        <v>0</v>
      </c>
      <c r="L46" s="353">
        <v>0</v>
      </c>
      <c r="M46" s="353">
        <v>0</v>
      </c>
      <c r="N46" s="353">
        <v>0</v>
      </c>
      <c r="O46" s="353">
        <f t="shared" si="5"/>
        <v>0</v>
      </c>
      <c r="P46" s="353">
        <f t="shared" si="6"/>
        <v>0</v>
      </c>
    </row>
    <row r="47" spans="1:18" ht="15" customHeight="1" x14ac:dyDescent="0.2">
      <c r="A47" s="350">
        <v>41</v>
      </c>
      <c r="B47" s="351" t="s">
        <v>224</v>
      </c>
      <c r="C47" s="353">
        <v>2</v>
      </c>
      <c r="D47" s="353">
        <v>43.86</v>
      </c>
      <c r="E47" s="353">
        <v>11</v>
      </c>
      <c r="F47" s="353">
        <v>128.99</v>
      </c>
      <c r="G47" s="353">
        <v>0</v>
      </c>
      <c r="H47" s="353">
        <v>0</v>
      </c>
      <c r="I47" s="353">
        <v>2</v>
      </c>
      <c r="J47" s="353">
        <v>33.51</v>
      </c>
      <c r="K47" s="353">
        <v>0</v>
      </c>
      <c r="L47" s="353">
        <v>0</v>
      </c>
      <c r="M47" s="353">
        <v>5</v>
      </c>
      <c r="N47" s="353">
        <v>46.35</v>
      </c>
      <c r="O47" s="353">
        <f t="shared" si="5"/>
        <v>20</v>
      </c>
      <c r="P47" s="353">
        <f t="shared" si="6"/>
        <v>252.71</v>
      </c>
    </row>
    <row r="48" spans="1:18" ht="15" customHeight="1" x14ac:dyDescent="0.2">
      <c r="A48" s="350">
        <v>42</v>
      </c>
      <c r="B48" s="351" t="s">
        <v>225</v>
      </c>
      <c r="C48" s="353">
        <v>0</v>
      </c>
      <c r="D48" s="353">
        <v>0</v>
      </c>
      <c r="E48" s="353">
        <v>0</v>
      </c>
      <c r="F48" s="353">
        <v>0</v>
      </c>
      <c r="G48" s="353">
        <v>0</v>
      </c>
      <c r="H48" s="353">
        <v>0</v>
      </c>
      <c r="I48" s="353">
        <v>0</v>
      </c>
      <c r="J48" s="353">
        <v>0</v>
      </c>
      <c r="K48" s="353">
        <v>0</v>
      </c>
      <c r="L48" s="353">
        <v>0</v>
      </c>
      <c r="M48" s="353">
        <v>0</v>
      </c>
      <c r="N48" s="353">
        <v>0</v>
      </c>
      <c r="O48" s="353">
        <f t="shared" si="5"/>
        <v>0</v>
      </c>
      <c r="P48" s="353">
        <f t="shared" si="6"/>
        <v>0</v>
      </c>
    </row>
    <row r="49" spans="1:18" ht="15" customHeight="1" x14ac:dyDescent="0.2">
      <c r="A49" s="350">
        <v>43</v>
      </c>
      <c r="B49" s="351" t="s">
        <v>74</v>
      </c>
      <c r="C49" s="353">
        <v>0</v>
      </c>
      <c r="D49" s="353">
        <v>0</v>
      </c>
      <c r="E49" s="353">
        <v>63</v>
      </c>
      <c r="F49" s="353">
        <v>171.12</v>
      </c>
      <c r="G49" s="353">
        <v>0</v>
      </c>
      <c r="H49" s="353">
        <v>0</v>
      </c>
      <c r="I49" s="353">
        <v>27</v>
      </c>
      <c r="J49" s="353">
        <v>93.66</v>
      </c>
      <c r="K49" s="353">
        <v>0</v>
      </c>
      <c r="L49" s="353">
        <v>0</v>
      </c>
      <c r="M49" s="353">
        <v>8</v>
      </c>
      <c r="N49" s="353">
        <v>69.48</v>
      </c>
      <c r="O49" s="353">
        <f t="shared" si="5"/>
        <v>98</v>
      </c>
      <c r="P49" s="353">
        <f t="shared" si="6"/>
        <v>334.26</v>
      </c>
    </row>
    <row r="50" spans="1:18" ht="15" customHeight="1" x14ac:dyDescent="0.2">
      <c r="A50" s="350">
        <v>44</v>
      </c>
      <c r="B50" s="351" t="s">
        <v>226</v>
      </c>
      <c r="C50" s="353">
        <v>1</v>
      </c>
      <c r="D50" s="353">
        <v>1</v>
      </c>
      <c r="E50" s="353">
        <v>0</v>
      </c>
      <c r="F50" s="353">
        <v>0</v>
      </c>
      <c r="G50" s="353">
        <v>0</v>
      </c>
      <c r="H50" s="353">
        <v>0</v>
      </c>
      <c r="I50" s="353">
        <v>1</v>
      </c>
      <c r="J50" s="353">
        <v>6.6</v>
      </c>
      <c r="K50" s="353">
        <v>0</v>
      </c>
      <c r="L50" s="353">
        <v>0</v>
      </c>
      <c r="M50" s="353">
        <v>1</v>
      </c>
      <c r="N50" s="353">
        <v>2.7</v>
      </c>
      <c r="O50" s="353">
        <f t="shared" si="5"/>
        <v>3</v>
      </c>
      <c r="P50" s="353">
        <f t="shared" si="6"/>
        <v>10.3</v>
      </c>
    </row>
    <row r="51" spans="1:18" ht="15" customHeight="1" x14ac:dyDescent="0.2">
      <c r="A51" s="350">
        <v>45</v>
      </c>
      <c r="B51" s="351" t="s">
        <v>227</v>
      </c>
      <c r="C51" s="353">
        <v>0</v>
      </c>
      <c r="D51" s="353">
        <v>0</v>
      </c>
      <c r="E51" s="353">
        <v>1432</v>
      </c>
      <c r="F51" s="353">
        <v>130.63999999999999</v>
      </c>
      <c r="G51" s="353">
        <v>5</v>
      </c>
      <c r="H51" s="353">
        <v>0.48</v>
      </c>
      <c r="I51" s="353">
        <v>6</v>
      </c>
      <c r="J51" s="353">
        <v>0.74</v>
      </c>
      <c r="K51" s="353">
        <v>0</v>
      </c>
      <c r="L51" s="353">
        <v>0</v>
      </c>
      <c r="M51" s="353">
        <v>12</v>
      </c>
      <c r="N51" s="353">
        <v>1.46</v>
      </c>
      <c r="O51" s="353">
        <f t="shared" si="5"/>
        <v>1455</v>
      </c>
      <c r="P51" s="353">
        <f t="shared" si="6"/>
        <v>133.32</v>
      </c>
    </row>
    <row r="52" spans="1:18" ht="15" customHeight="1" x14ac:dyDescent="0.2">
      <c r="A52" s="350">
        <v>46</v>
      </c>
      <c r="B52" s="351" t="s">
        <v>228</v>
      </c>
      <c r="C52" s="353">
        <v>0</v>
      </c>
      <c r="D52" s="353">
        <v>0</v>
      </c>
      <c r="E52" s="353">
        <v>0</v>
      </c>
      <c r="F52" s="353">
        <v>0</v>
      </c>
      <c r="G52" s="353">
        <v>0</v>
      </c>
      <c r="H52" s="353">
        <v>0</v>
      </c>
      <c r="I52" s="353">
        <v>0</v>
      </c>
      <c r="J52" s="353">
        <v>0</v>
      </c>
      <c r="K52" s="353">
        <v>0</v>
      </c>
      <c r="L52" s="353">
        <v>0</v>
      </c>
      <c r="M52" s="353">
        <v>0</v>
      </c>
      <c r="N52" s="353">
        <v>0</v>
      </c>
      <c r="O52" s="353">
        <f t="shared" si="5"/>
        <v>0</v>
      </c>
      <c r="P52" s="353">
        <f t="shared" si="6"/>
        <v>0</v>
      </c>
    </row>
    <row r="53" spans="1:18" ht="15" customHeight="1" x14ac:dyDescent="0.2">
      <c r="A53" s="350">
        <v>47</v>
      </c>
      <c r="B53" s="351" t="s">
        <v>78</v>
      </c>
      <c r="C53" s="353">
        <v>0</v>
      </c>
      <c r="D53" s="353">
        <v>0</v>
      </c>
      <c r="E53" s="353">
        <v>0</v>
      </c>
      <c r="F53" s="353">
        <v>0</v>
      </c>
      <c r="G53" s="353">
        <v>0</v>
      </c>
      <c r="H53" s="353">
        <v>0</v>
      </c>
      <c r="I53" s="353">
        <v>0</v>
      </c>
      <c r="J53" s="353">
        <v>0</v>
      </c>
      <c r="K53" s="353">
        <v>0</v>
      </c>
      <c r="L53" s="353">
        <v>0</v>
      </c>
      <c r="M53" s="353">
        <v>0</v>
      </c>
      <c r="N53" s="353">
        <v>0</v>
      </c>
      <c r="O53" s="353">
        <f t="shared" si="5"/>
        <v>0</v>
      </c>
      <c r="P53" s="353">
        <f t="shared" si="6"/>
        <v>0</v>
      </c>
    </row>
    <row r="54" spans="1:18" ht="15" customHeight="1" x14ac:dyDescent="0.2">
      <c r="A54" s="350">
        <v>48</v>
      </c>
      <c r="B54" s="351" t="s">
        <v>229</v>
      </c>
      <c r="C54" s="353">
        <v>0</v>
      </c>
      <c r="D54" s="353">
        <v>0</v>
      </c>
      <c r="E54" s="353">
        <v>0</v>
      </c>
      <c r="F54" s="353">
        <v>0</v>
      </c>
      <c r="G54" s="353">
        <v>0</v>
      </c>
      <c r="H54" s="353">
        <v>0</v>
      </c>
      <c r="I54" s="353">
        <v>0</v>
      </c>
      <c r="J54" s="353">
        <v>0</v>
      </c>
      <c r="K54" s="353">
        <v>0</v>
      </c>
      <c r="L54" s="353">
        <v>0</v>
      </c>
      <c r="M54" s="353">
        <v>0</v>
      </c>
      <c r="N54" s="353">
        <v>0</v>
      </c>
      <c r="O54" s="353">
        <f t="shared" si="5"/>
        <v>0</v>
      </c>
      <c r="P54" s="353">
        <f t="shared" si="6"/>
        <v>0</v>
      </c>
    </row>
    <row r="55" spans="1:18" ht="15" customHeight="1" x14ac:dyDescent="0.2">
      <c r="A55" s="350">
        <v>49</v>
      </c>
      <c r="B55" s="351" t="s">
        <v>77</v>
      </c>
      <c r="C55" s="353">
        <v>0</v>
      </c>
      <c r="D55" s="353">
        <v>0</v>
      </c>
      <c r="E55" s="353">
        <v>0</v>
      </c>
      <c r="F55" s="353">
        <v>0</v>
      </c>
      <c r="G55" s="353">
        <v>0</v>
      </c>
      <c r="H55" s="353">
        <v>0</v>
      </c>
      <c r="I55" s="353">
        <v>0</v>
      </c>
      <c r="J55" s="353">
        <v>0</v>
      </c>
      <c r="K55" s="353">
        <v>0</v>
      </c>
      <c r="L55" s="353">
        <v>0</v>
      </c>
      <c r="M55" s="353">
        <v>0</v>
      </c>
      <c r="N55" s="353">
        <v>0</v>
      </c>
      <c r="O55" s="353">
        <f t="shared" si="5"/>
        <v>0</v>
      </c>
      <c r="P55" s="353">
        <f t="shared" si="6"/>
        <v>0</v>
      </c>
    </row>
    <row r="56" spans="1:18" s="342" customFormat="1" ht="15" customHeight="1" x14ac:dyDescent="0.2">
      <c r="A56" s="359" t="s">
        <v>488</v>
      </c>
      <c r="B56" s="360" t="s">
        <v>408</v>
      </c>
      <c r="C56" s="357">
        <f>SUM(C34:C55)</f>
        <v>202</v>
      </c>
      <c r="D56" s="357">
        <f t="shared" ref="D56:N56" si="7">SUM(D34:D55)</f>
        <v>795.55000000000007</v>
      </c>
      <c r="E56" s="357">
        <f t="shared" si="7"/>
        <v>9233</v>
      </c>
      <c r="F56" s="357">
        <f t="shared" si="7"/>
        <v>11598.779999999999</v>
      </c>
      <c r="G56" s="357">
        <f t="shared" si="7"/>
        <v>20</v>
      </c>
      <c r="H56" s="357">
        <f t="shared" si="7"/>
        <v>47.639999999999993</v>
      </c>
      <c r="I56" s="357">
        <f t="shared" si="7"/>
        <v>648</v>
      </c>
      <c r="J56" s="357">
        <f t="shared" si="7"/>
        <v>3160.3699999999994</v>
      </c>
      <c r="K56" s="357">
        <f t="shared" si="7"/>
        <v>160</v>
      </c>
      <c r="L56" s="357">
        <f t="shared" si="7"/>
        <v>168.23999999999998</v>
      </c>
      <c r="M56" s="357">
        <f t="shared" si="7"/>
        <v>234</v>
      </c>
      <c r="N56" s="357">
        <f t="shared" si="7"/>
        <v>1755.78</v>
      </c>
      <c r="O56" s="357">
        <f t="shared" ref="O56" si="8">SUM(O34:O55)</f>
        <v>10497</v>
      </c>
      <c r="P56" s="357">
        <f t="shared" ref="P56" si="9">SUM(P34:P55)</f>
        <v>17526.359999999993</v>
      </c>
      <c r="Q56" s="348"/>
      <c r="R56" s="348"/>
    </row>
    <row r="57" spans="1:18" ht="15" customHeight="1" x14ac:dyDescent="0.2">
      <c r="A57" s="350">
        <v>50</v>
      </c>
      <c r="B57" s="351" t="s">
        <v>47</v>
      </c>
      <c r="C57" s="353">
        <v>251</v>
      </c>
      <c r="D57" s="353">
        <v>169.59</v>
      </c>
      <c r="E57" s="353">
        <v>3768</v>
      </c>
      <c r="F57" s="353">
        <v>2124.62</v>
      </c>
      <c r="G57" s="353">
        <v>90</v>
      </c>
      <c r="H57" s="353">
        <v>86</v>
      </c>
      <c r="I57" s="353">
        <v>30</v>
      </c>
      <c r="J57" s="353">
        <v>50</v>
      </c>
      <c r="K57" s="353">
        <v>0</v>
      </c>
      <c r="L57" s="353">
        <v>0</v>
      </c>
      <c r="M57" s="353">
        <v>1690</v>
      </c>
      <c r="N57" s="353">
        <v>4236.3100000000004</v>
      </c>
      <c r="O57" s="353">
        <f t="shared" si="5"/>
        <v>5829</v>
      </c>
      <c r="P57" s="353">
        <f t="shared" si="6"/>
        <v>6666.52</v>
      </c>
    </row>
    <row r="58" spans="1:18" ht="15" customHeight="1" x14ac:dyDescent="0.2">
      <c r="A58" s="350">
        <v>51</v>
      </c>
      <c r="B58" s="351" t="s">
        <v>230</v>
      </c>
      <c r="C58" s="353">
        <v>0</v>
      </c>
      <c r="D58" s="353">
        <v>0</v>
      </c>
      <c r="E58" s="353">
        <v>221</v>
      </c>
      <c r="F58" s="353">
        <v>51</v>
      </c>
      <c r="G58" s="353">
        <v>0</v>
      </c>
      <c r="H58" s="353">
        <v>0</v>
      </c>
      <c r="I58" s="353">
        <v>28</v>
      </c>
      <c r="J58" s="353">
        <v>9</v>
      </c>
      <c r="K58" s="353">
        <v>0</v>
      </c>
      <c r="L58" s="353">
        <v>0</v>
      </c>
      <c r="M58" s="353">
        <v>1743</v>
      </c>
      <c r="N58" s="353">
        <v>433</v>
      </c>
      <c r="O58" s="353">
        <f t="shared" si="5"/>
        <v>1992</v>
      </c>
      <c r="P58" s="353">
        <f t="shared" si="6"/>
        <v>493</v>
      </c>
    </row>
    <row r="59" spans="1:18" ht="15" customHeight="1" x14ac:dyDescent="0.2">
      <c r="A59" s="362">
        <v>52</v>
      </c>
      <c r="B59" s="358" t="s">
        <v>53</v>
      </c>
      <c r="C59" s="353">
        <v>0</v>
      </c>
      <c r="D59" s="353">
        <v>0</v>
      </c>
      <c r="E59" s="353">
        <v>22</v>
      </c>
      <c r="F59" s="353">
        <v>15</v>
      </c>
      <c r="G59" s="353">
        <v>0</v>
      </c>
      <c r="H59" s="353">
        <v>0</v>
      </c>
      <c r="I59" s="353">
        <v>0</v>
      </c>
      <c r="J59" s="353">
        <v>0</v>
      </c>
      <c r="K59" s="353">
        <v>0</v>
      </c>
      <c r="L59" s="353">
        <v>0</v>
      </c>
      <c r="M59" s="353">
        <v>32</v>
      </c>
      <c r="N59" s="353">
        <v>26</v>
      </c>
      <c r="O59" s="353">
        <f t="shared" si="5"/>
        <v>54</v>
      </c>
      <c r="P59" s="353">
        <f t="shared" si="6"/>
        <v>41</v>
      </c>
    </row>
    <row r="60" spans="1:18" s="342" customFormat="1" ht="15" customHeight="1" x14ac:dyDescent="0.2">
      <c r="A60" s="363"/>
      <c r="B60" s="361" t="s">
        <v>415</v>
      </c>
      <c r="C60" s="357">
        <f>SUM(C57:C59)</f>
        <v>251</v>
      </c>
      <c r="D60" s="357">
        <f t="shared" ref="D60:N60" si="10">SUM(D57:D59)</f>
        <v>169.59</v>
      </c>
      <c r="E60" s="357">
        <f t="shared" si="10"/>
        <v>4011</v>
      </c>
      <c r="F60" s="357">
        <f t="shared" si="10"/>
        <v>2190.62</v>
      </c>
      <c r="G60" s="357">
        <f t="shared" si="10"/>
        <v>90</v>
      </c>
      <c r="H60" s="357">
        <f t="shared" si="10"/>
        <v>86</v>
      </c>
      <c r="I60" s="357">
        <f t="shared" si="10"/>
        <v>58</v>
      </c>
      <c r="J60" s="357">
        <f t="shared" si="10"/>
        <v>59</v>
      </c>
      <c r="K60" s="357">
        <f t="shared" si="10"/>
        <v>0</v>
      </c>
      <c r="L60" s="357">
        <f t="shared" si="10"/>
        <v>0</v>
      </c>
      <c r="M60" s="357">
        <f t="shared" si="10"/>
        <v>3465</v>
      </c>
      <c r="N60" s="357">
        <f t="shared" si="10"/>
        <v>4695.3100000000004</v>
      </c>
      <c r="O60" s="357">
        <f t="shared" ref="O60" si="11">SUM(O57:O59)</f>
        <v>7875</v>
      </c>
      <c r="P60" s="357">
        <f t="shared" ref="P60" si="12">SUM(P57:P59)</f>
        <v>7200.52</v>
      </c>
      <c r="Q60" s="348"/>
      <c r="R60" s="348"/>
    </row>
    <row r="61" spans="1:18" ht="15" customHeight="1" x14ac:dyDescent="0.2">
      <c r="A61" s="362">
        <v>53</v>
      </c>
      <c r="B61" s="358" t="s">
        <v>409</v>
      </c>
      <c r="C61" s="353">
        <v>328</v>
      </c>
      <c r="D61" s="353">
        <v>66.48</v>
      </c>
      <c r="E61" s="353">
        <v>12179</v>
      </c>
      <c r="F61" s="353">
        <v>5304.98</v>
      </c>
      <c r="G61" s="353">
        <v>591</v>
      </c>
      <c r="H61" s="353">
        <v>134.30000000000001</v>
      </c>
      <c r="I61" s="353">
        <v>647</v>
      </c>
      <c r="J61" s="353">
        <v>336.43</v>
      </c>
      <c r="K61" s="353">
        <v>0</v>
      </c>
      <c r="L61" s="353">
        <v>0</v>
      </c>
      <c r="M61" s="353">
        <v>2633</v>
      </c>
      <c r="N61" s="353">
        <v>876.66</v>
      </c>
      <c r="O61" s="353">
        <f t="shared" si="5"/>
        <v>16378</v>
      </c>
      <c r="P61" s="353">
        <f t="shared" si="6"/>
        <v>6718.8499999999995</v>
      </c>
    </row>
    <row r="62" spans="1:18" s="342" customFormat="1" ht="15" customHeight="1" x14ac:dyDescent="0.2">
      <c r="A62" s="363" t="s">
        <v>488</v>
      </c>
      <c r="B62" s="361" t="s">
        <v>410</v>
      </c>
      <c r="C62" s="357">
        <f>C61</f>
        <v>328</v>
      </c>
      <c r="D62" s="357">
        <f t="shared" ref="D62:N62" si="13">D61</f>
        <v>66.48</v>
      </c>
      <c r="E62" s="357">
        <f t="shared" si="13"/>
        <v>12179</v>
      </c>
      <c r="F62" s="357">
        <f t="shared" si="13"/>
        <v>5304.98</v>
      </c>
      <c r="G62" s="357">
        <f t="shared" si="13"/>
        <v>591</v>
      </c>
      <c r="H62" s="357">
        <f t="shared" si="13"/>
        <v>134.30000000000001</v>
      </c>
      <c r="I62" s="357">
        <f t="shared" si="13"/>
        <v>647</v>
      </c>
      <c r="J62" s="357">
        <f t="shared" si="13"/>
        <v>336.43</v>
      </c>
      <c r="K62" s="357">
        <f t="shared" si="13"/>
        <v>0</v>
      </c>
      <c r="L62" s="357">
        <f t="shared" si="13"/>
        <v>0</v>
      </c>
      <c r="M62" s="357">
        <f t="shared" si="13"/>
        <v>2633</v>
      </c>
      <c r="N62" s="357">
        <f t="shared" si="13"/>
        <v>876.66</v>
      </c>
      <c r="O62" s="357">
        <f t="shared" ref="O62" si="14">O61</f>
        <v>16378</v>
      </c>
      <c r="P62" s="357">
        <f t="shared" ref="P62" si="15">P61</f>
        <v>6718.8499999999995</v>
      </c>
      <c r="Q62" s="348"/>
      <c r="R62" s="348"/>
    </row>
    <row r="63" spans="1:18" s="342" customFormat="1" ht="15" customHeight="1" x14ac:dyDescent="0.2">
      <c r="A63" s="363" t="s">
        <v>488</v>
      </c>
      <c r="B63" s="361" t="s">
        <v>411</v>
      </c>
      <c r="C63" s="357">
        <f>C62+C60+C56+C33</f>
        <v>2776</v>
      </c>
      <c r="D63" s="357">
        <f t="shared" ref="D63:N63" si="16">D62+D60+D56+D33</f>
        <v>6953.64</v>
      </c>
      <c r="E63" s="357">
        <f t="shared" si="16"/>
        <v>49851</v>
      </c>
      <c r="F63" s="357">
        <f t="shared" si="16"/>
        <v>61412.95</v>
      </c>
      <c r="G63" s="357">
        <f t="shared" si="16"/>
        <v>850</v>
      </c>
      <c r="H63" s="357">
        <f t="shared" si="16"/>
        <v>638.87</v>
      </c>
      <c r="I63" s="357">
        <f t="shared" si="16"/>
        <v>3934</v>
      </c>
      <c r="J63" s="357">
        <f t="shared" si="16"/>
        <v>38607</v>
      </c>
      <c r="K63" s="357">
        <f t="shared" si="16"/>
        <v>176</v>
      </c>
      <c r="L63" s="357">
        <f t="shared" si="16"/>
        <v>191.7</v>
      </c>
      <c r="M63" s="357">
        <f t="shared" si="16"/>
        <v>9013</v>
      </c>
      <c r="N63" s="357">
        <f t="shared" si="16"/>
        <v>31107.460000000003</v>
      </c>
      <c r="O63" s="357">
        <f t="shared" ref="O63" si="17">O62+O60+O56+O33</f>
        <v>66600</v>
      </c>
      <c r="P63" s="357">
        <f t="shared" ref="P63" si="18">P62+P60+P56+P33</f>
        <v>138911.61999999997</v>
      </c>
      <c r="Q63" s="348"/>
      <c r="R63" s="348"/>
    </row>
  </sheetData>
  <mergeCells count="12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24" priority="7" operator="lessThan">
      <formula>0</formula>
    </cfRule>
  </conditionalFormatting>
  <conditionalFormatting sqref="B6">
    <cfRule type="duplicateValues" dxfId="23" priority="1"/>
  </conditionalFormatting>
  <conditionalFormatting sqref="B22">
    <cfRule type="duplicateValues" dxfId="22" priority="2"/>
  </conditionalFormatting>
  <conditionalFormatting sqref="B33:B34 B26:B30">
    <cfRule type="duplicateValues" dxfId="21" priority="3"/>
  </conditionalFormatting>
  <conditionalFormatting sqref="B51">
    <cfRule type="duplicateValues" dxfId="20" priority="4"/>
  </conditionalFormatting>
  <conditionalFormatting sqref="B55">
    <cfRule type="duplicateValues" dxfId="19" priority="5"/>
  </conditionalFormatting>
  <conditionalFormatting sqref="B57">
    <cfRule type="duplicateValues" dxfId="18" priority="6"/>
  </conditionalFormatting>
  <pageMargins left="0.25" right="0.25" top="0.75" bottom="0.75" header="0.3" footer="0.3"/>
  <pageSetup paperSize="9" scale="6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6"/>
  <sheetViews>
    <sheetView view="pageBreakPreview" zoomScale="60" zoomScaleNormal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E69" sqref="E69"/>
    </sheetView>
  </sheetViews>
  <sheetFormatPr defaultRowHeight="12.75" x14ac:dyDescent="0.2"/>
  <cols>
    <col min="1" max="1" width="9.140625" style="5"/>
    <col min="2" max="2" width="24.42578125" style="5" bestFit="1" customWidth="1"/>
    <col min="3" max="3" width="13.28515625" style="5" customWidth="1"/>
    <col min="4" max="4" width="14.85546875" style="5" customWidth="1"/>
    <col min="5" max="5" width="13.42578125" style="5" customWidth="1"/>
    <col min="6" max="6" width="14.5703125" style="6" customWidth="1"/>
    <col min="7" max="16384" width="9.140625" style="5"/>
  </cols>
  <sheetData>
    <row r="1" spans="1:6" ht="15.75" customHeight="1" x14ac:dyDescent="0.2">
      <c r="A1" s="489" t="s">
        <v>489</v>
      </c>
      <c r="B1" s="489"/>
      <c r="C1" s="489"/>
      <c r="D1" s="489"/>
      <c r="E1" s="489"/>
      <c r="F1" s="489"/>
    </row>
    <row r="2" spans="1:6" ht="14.25" x14ac:dyDescent="0.2">
      <c r="A2" s="49"/>
      <c r="B2" s="49"/>
      <c r="C2" s="49"/>
      <c r="D2" s="49"/>
      <c r="E2" s="49"/>
      <c r="F2" s="214"/>
    </row>
    <row r="3" spans="1:6" ht="15" customHeight="1" x14ac:dyDescent="0.2">
      <c r="A3" s="34"/>
      <c r="B3" s="525" t="s">
        <v>12</v>
      </c>
      <c r="C3" s="525"/>
      <c r="D3" s="525"/>
      <c r="F3" s="230" t="s">
        <v>187</v>
      </c>
    </row>
    <row r="4" spans="1:6" ht="14.25" customHeight="1" x14ac:dyDescent="0.2">
      <c r="A4" s="509" t="s">
        <v>232</v>
      </c>
      <c r="B4" s="509" t="s">
        <v>3</v>
      </c>
      <c r="C4" s="526" t="s">
        <v>185</v>
      </c>
      <c r="D4" s="527"/>
      <c r="E4" s="480" t="s">
        <v>186</v>
      </c>
      <c r="F4" s="480"/>
    </row>
    <row r="5" spans="1:6" ht="13.5" x14ac:dyDescent="0.2">
      <c r="A5" s="510"/>
      <c r="B5" s="512"/>
      <c r="C5" s="212" t="s">
        <v>30</v>
      </c>
      <c r="D5" s="226" t="s">
        <v>17</v>
      </c>
      <c r="E5" s="212" t="s">
        <v>30</v>
      </c>
      <c r="F5" s="212" t="s">
        <v>17</v>
      </c>
    </row>
    <row r="6" spans="1:6" ht="15" customHeight="1" x14ac:dyDescent="0.2">
      <c r="A6" s="65">
        <v>1</v>
      </c>
      <c r="B6" s="66" t="s">
        <v>56</v>
      </c>
      <c r="C6" s="203">
        <v>29865</v>
      </c>
      <c r="D6" s="203">
        <v>77638</v>
      </c>
      <c r="E6" s="203">
        <v>11163</v>
      </c>
      <c r="F6" s="203">
        <v>21196</v>
      </c>
    </row>
    <row r="7" spans="1:6" ht="15" customHeight="1" x14ac:dyDescent="0.2">
      <c r="A7" s="65">
        <v>2</v>
      </c>
      <c r="B7" s="66" t="s">
        <v>57</v>
      </c>
      <c r="C7" s="191">
        <v>109</v>
      </c>
      <c r="D7" s="191">
        <v>221.03</v>
      </c>
      <c r="E7" s="191">
        <v>60</v>
      </c>
      <c r="F7" s="191">
        <v>103.15</v>
      </c>
    </row>
    <row r="8" spans="1:6" ht="15" customHeight="1" x14ac:dyDescent="0.2">
      <c r="A8" s="65">
        <v>3</v>
      </c>
      <c r="B8" s="66" t="s">
        <v>58</v>
      </c>
      <c r="C8" s="191">
        <v>11018</v>
      </c>
      <c r="D8" s="191">
        <v>12553.5</v>
      </c>
      <c r="E8" s="191">
        <v>10391</v>
      </c>
      <c r="F8" s="191">
        <v>9531</v>
      </c>
    </row>
    <row r="9" spans="1:6" ht="15" customHeight="1" x14ac:dyDescent="0.2">
      <c r="A9" s="65">
        <v>4</v>
      </c>
      <c r="B9" s="66" t="s">
        <v>59</v>
      </c>
      <c r="C9" s="191">
        <v>119607</v>
      </c>
      <c r="D9" s="191">
        <v>334985</v>
      </c>
      <c r="E9" s="191">
        <v>151158</v>
      </c>
      <c r="F9" s="191">
        <v>143851</v>
      </c>
    </row>
    <row r="10" spans="1:6" ht="15" customHeight="1" x14ac:dyDescent="0.2">
      <c r="A10" s="65">
        <v>5</v>
      </c>
      <c r="B10" s="66" t="s">
        <v>60</v>
      </c>
      <c r="C10" s="191">
        <v>11923</v>
      </c>
      <c r="D10" s="191">
        <v>19782</v>
      </c>
      <c r="E10" s="191">
        <v>13689</v>
      </c>
      <c r="F10" s="191">
        <v>19813</v>
      </c>
    </row>
    <row r="11" spans="1:6" ht="15" customHeight="1" x14ac:dyDescent="0.2">
      <c r="A11" s="65">
        <v>6</v>
      </c>
      <c r="B11" s="199" t="s">
        <v>244</v>
      </c>
      <c r="C11" s="191">
        <v>41</v>
      </c>
      <c r="D11" s="191">
        <v>43.51</v>
      </c>
      <c r="E11" s="191">
        <v>11</v>
      </c>
      <c r="F11" s="191">
        <v>15.3</v>
      </c>
    </row>
    <row r="12" spans="1:6" ht="15" customHeight="1" x14ac:dyDescent="0.2">
      <c r="A12" s="65">
        <v>7</v>
      </c>
      <c r="B12" s="66" t="s">
        <v>61</v>
      </c>
      <c r="C12" s="191">
        <v>4523</v>
      </c>
      <c r="D12" s="191">
        <v>6665</v>
      </c>
      <c r="E12" s="191">
        <v>2040</v>
      </c>
      <c r="F12" s="191">
        <v>5874</v>
      </c>
    </row>
    <row r="13" spans="1:6" ht="15" customHeight="1" x14ac:dyDescent="0.2">
      <c r="A13" s="65">
        <v>8</v>
      </c>
      <c r="B13" s="66" t="s">
        <v>62</v>
      </c>
      <c r="C13" s="191">
        <v>72903</v>
      </c>
      <c r="D13" s="191">
        <v>47309</v>
      </c>
      <c r="E13" s="191">
        <v>40925</v>
      </c>
      <c r="F13" s="191">
        <v>11517</v>
      </c>
    </row>
    <row r="14" spans="1:6" ht="15" customHeight="1" x14ac:dyDescent="0.2">
      <c r="A14" s="65">
        <v>9</v>
      </c>
      <c r="B14" s="66" t="s">
        <v>49</v>
      </c>
      <c r="C14" s="191">
        <v>1387</v>
      </c>
      <c r="D14" s="191">
        <v>2804</v>
      </c>
      <c r="E14" s="191">
        <v>892</v>
      </c>
      <c r="F14" s="191">
        <v>2074</v>
      </c>
    </row>
    <row r="15" spans="1:6" ht="15" customHeight="1" x14ac:dyDescent="0.2">
      <c r="A15" s="65">
        <v>10</v>
      </c>
      <c r="B15" s="66" t="s">
        <v>50</v>
      </c>
      <c r="C15" s="191">
        <v>2887</v>
      </c>
      <c r="D15" s="191">
        <v>2882</v>
      </c>
      <c r="E15" s="191">
        <v>1542</v>
      </c>
      <c r="F15" s="191">
        <v>1772</v>
      </c>
    </row>
    <row r="16" spans="1:6" ht="15" customHeight="1" x14ac:dyDescent="0.2">
      <c r="A16" s="65">
        <v>11</v>
      </c>
      <c r="B16" s="66" t="s">
        <v>82</v>
      </c>
      <c r="C16" s="191">
        <v>756</v>
      </c>
      <c r="D16" s="191">
        <v>2116</v>
      </c>
      <c r="E16" s="191">
        <v>739</v>
      </c>
      <c r="F16" s="191">
        <v>1559</v>
      </c>
    </row>
    <row r="17" spans="1:6" ht="15" customHeight="1" x14ac:dyDescent="0.2">
      <c r="A17" s="65">
        <v>12</v>
      </c>
      <c r="B17" s="66" t="s">
        <v>63</v>
      </c>
      <c r="C17" s="191">
        <v>810</v>
      </c>
      <c r="D17" s="191">
        <v>1011</v>
      </c>
      <c r="E17" s="191">
        <v>266</v>
      </c>
      <c r="F17" s="191">
        <v>378</v>
      </c>
    </row>
    <row r="18" spans="1:6" ht="15" customHeight="1" x14ac:dyDescent="0.2">
      <c r="A18" s="65">
        <v>13</v>
      </c>
      <c r="B18" s="66" t="s">
        <v>64</v>
      </c>
      <c r="C18" s="191">
        <v>1215</v>
      </c>
      <c r="D18" s="191">
        <v>1790</v>
      </c>
      <c r="E18" s="191">
        <v>880</v>
      </c>
      <c r="F18" s="191">
        <v>1112</v>
      </c>
    </row>
    <row r="19" spans="1:6" ht="15" customHeight="1" x14ac:dyDescent="0.2">
      <c r="A19" s="65">
        <v>14</v>
      </c>
      <c r="B19" s="100" t="s">
        <v>208</v>
      </c>
      <c r="C19" s="191">
        <v>3395</v>
      </c>
      <c r="D19" s="191">
        <v>6097.4</v>
      </c>
      <c r="E19" s="191">
        <v>1557</v>
      </c>
      <c r="F19" s="191">
        <v>2162.34</v>
      </c>
    </row>
    <row r="20" spans="1:6" ht="15" customHeight="1" x14ac:dyDescent="0.2">
      <c r="A20" s="65">
        <v>15</v>
      </c>
      <c r="B20" s="66" t="s">
        <v>209</v>
      </c>
      <c r="C20" s="191">
        <v>353</v>
      </c>
      <c r="D20" s="191">
        <v>312</v>
      </c>
      <c r="E20" s="191">
        <v>94</v>
      </c>
      <c r="F20" s="191">
        <v>58</v>
      </c>
    </row>
    <row r="21" spans="1:6" ht="15" customHeight="1" x14ac:dyDescent="0.2">
      <c r="A21" s="65">
        <v>16</v>
      </c>
      <c r="B21" s="66" t="s">
        <v>65</v>
      </c>
      <c r="C21" s="191">
        <v>18660</v>
      </c>
      <c r="D21" s="191">
        <v>21059</v>
      </c>
      <c r="E21" s="191">
        <v>8782</v>
      </c>
      <c r="F21" s="191">
        <v>9911</v>
      </c>
    </row>
    <row r="22" spans="1:6" ht="15" customHeight="1" x14ac:dyDescent="0.2">
      <c r="A22" s="65">
        <v>17</v>
      </c>
      <c r="B22" s="100" t="s">
        <v>70</v>
      </c>
      <c r="C22" s="191">
        <v>37</v>
      </c>
      <c r="D22" s="191">
        <v>43.9</v>
      </c>
      <c r="E22" s="191">
        <v>44</v>
      </c>
      <c r="F22" s="191">
        <v>93.87</v>
      </c>
    </row>
    <row r="23" spans="1:6" ht="15" customHeight="1" x14ac:dyDescent="0.2">
      <c r="A23" s="65">
        <v>18</v>
      </c>
      <c r="B23" s="66" t="s">
        <v>210</v>
      </c>
      <c r="C23" s="191">
        <v>0</v>
      </c>
      <c r="D23" s="191">
        <v>0</v>
      </c>
      <c r="E23" s="191">
        <v>0</v>
      </c>
      <c r="F23" s="191">
        <v>0</v>
      </c>
    </row>
    <row r="24" spans="1:6" ht="15" customHeight="1" x14ac:dyDescent="0.2">
      <c r="A24" s="65">
        <v>19</v>
      </c>
      <c r="B24" s="101" t="s">
        <v>211</v>
      </c>
      <c r="C24" s="191">
        <v>120</v>
      </c>
      <c r="D24" s="191">
        <v>500</v>
      </c>
      <c r="E24" s="191">
        <v>53</v>
      </c>
      <c r="F24" s="191">
        <v>164.32</v>
      </c>
    </row>
    <row r="25" spans="1:6" ht="15" customHeight="1" x14ac:dyDescent="0.2">
      <c r="A25" s="65">
        <v>20</v>
      </c>
      <c r="B25" s="66" t="s">
        <v>212</v>
      </c>
      <c r="C25" s="191">
        <v>21</v>
      </c>
      <c r="D25" s="191">
        <v>904</v>
      </c>
      <c r="E25" s="191">
        <v>16</v>
      </c>
      <c r="F25" s="191">
        <v>548</v>
      </c>
    </row>
    <row r="26" spans="1:6" ht="15" customHeight="1" x14ac:dyDescent="0.2">
      <c r="A26" s="65">
        <v>21</v>
      </c>
      <c r="B26" s="66" t="s">
        <v>213</v>
      </c>
      <c r="C26" s="191">
        <v>0</v>
      </c>
      <c r="D26" s="191">
        <v>0</v>
      </c>
      <c r="E26" s="191">
        <v>0</v>
      </c>
      <c r="F26" s="191">
        <v>0</v>
      </c>
    </row>
    <row r="27" spans="1:6" ht="15" customHeight="1" x14ac:dyDescent="0.2">
      <c r="A27" s="65">
        <v>22</v>
      </c>
      <c r="B27" s="66" t="s">
        <v>71</v>
      </c>
      <c r="C27" s="191">
        <v>16784</v>
      </c>
      <c r="D27" s="191">
        <v>36411</v>
      </c>
      <c r="E27" s="191">
        <v>78864</v>
      </c>
      <c r="F27" s="191">
        <v>148667</v>
      </c>
    </row>
    <row r="28" spans="1:6" ht="15" customHeight="1" x14ac:dyDescent="0.2">
      <c r="A28" s="65">
        <v>23</v>
      </c>
      <c r="B28" s="66" t="s">
        <v>66</v>
      </c>
      <c r="C28" s="191">
        <v>1731</v>
      </c>
      <c r="D28" s="191">
        <v>2542</v>
      </c>
      <c r="E28" s="191">
        <v>1571</v>
      </c>
      <c r="F28" s="191">
        <v>1840</v>
      </c>
    </row>
    <row r="29" spans="1:6" ht="15" customHeight="1" x14ac:dyDescent="0.2">
      <c r="A29" s="65">
        <v>24</v>
      </c>
      <c r="B29" s="66" t="s">
        <v>214</v>
      </c>
      <c r="C29" s="191">
        <v>13713</v>
      </c>
      <c r="D29" s="191">
        <v>15219</v>
      </c>
      <c r="E29" s="191">
        <v>8817</v>
      </c>
      <c r="F29" s="191">
        <v>2219</v>
      </c>
    </row>
    <row r="30" spans="1:6" ht="15" customHeight="1" x14ac:dyDescent="0.2">
      <c r="A30" s="65">
        <v>25</v>
      </c>
      <c r="B30" s="66" t="s">
        <v>67</v>
      </c>
      <c r="C30" s="191">
        <v>21205</v>
      </c>
      <c r="D30" s="191">
        <v>25051</v>
      </c>
      <c r="E30" s="191">
        <v>12866</v>
      </c>
      <c r="F30" s="191">
        <v>13083</v>
      </c>
    </row>
    <row r="31" spans="1:6" ht="15" customHeight="1" x14ac:dyDescent="0.2">
      <c r="A31" s="65">
        <v>26</v>
      </c>
      <c r="B31" s="199" t="s">
        <v>68</v>
      </c>
      <c r="C31" s="191">
        <v>166</v>
      </c>
      <c r="D31" s="191">
        <v>1652</v>
      </c>
      <c r="E31" s="191">
        <v>75</v>
      </c>
      <c r="F31" s="191">
        <v>728</v>
      </c>
    </row>
    <row r="32" spans="1:6" ht="15" customHeight="1" x14ac:dyDescent="0.2">
      <c r="A32" s="65">
        <v>27</v>
      </c>
      <c r="B32" s="66" t="s">
        <v>51</v>
      </c>
      <c r="C32" s="191">
        <v>550</v>
      </c>
      <c r="D32" s="191">
        <v>856.35</v>
      </c>
      <c r="E32" s="191">
        <v>281</v>
      </c>
      <c r="F32" s="191">
        <v>606.67999999999995</v>
      </c>
    </row>
    <row r="33" spans="1:6" s="200" customFormat="1" ht="15" customHeight="1" x14ac:dyDescent="0.2">
      <c r="A33" s="65"/>
      <c r="B33" s="68" t="s">
        <v>414</v>
      </c>
      <c r="C33" s="193">
        <f>SUM(C6:C32)</f>
        <v>333779</v>
      </c>
      <c r="D33" s="193">
        <f t="shared" ref="D33:F33" si="0">SUM(D6:D32)</f>
        <v>620447.69000000006</v>
      </c>
      <c r="E33" s="193">
        <f t="shared" si="0"/>
        <v>346776</v>
      </c>
      <c r="F33" s="193">
        <f t="shared" si="0"/>
        <v>398876.66</v>
      </c>
    </row>
    <row r="34" spans="1:6" ht="15" customHeight="1" x14ac:dyDescent="0.2">
      <c r="A34" s="65">
        <v>28</v>
      </c>
      <c r="B34" s="66" t="s">
        <v>48</v>
      </c>
      <c r="C34" s="191">
        <v>2683</v>
      </c>
      <c r="D34" s="191">
        <v>2000.75</v>
      </c>
      <c r="E34" s="191">
        <v>1532</v>
      </c>
      <c r="F34" s="191">
        <v>1519.08</v>
      </c>
    </row>
    <row r="35" spans="1:6" ht="15" customHeight="1" x14ac:dyDescent="0.2">
      <c r="A35" s="65">
        <v>29</v>
      </c>
      <c r="B35" s="66" t="s">
        <v>216</v>
      </c>
      <c r="C35" s="191">
        <v>0</v>
      </c>
      <c r="D35" s="191">
        <v>0</v>
      </c>
      <c r="E35" s="191">
        <v>0</v>
      </c>
      <c r="F35" s="191">
        <v>0</v>
      </c>
    </row>
    <row r="36" spans="1:6" ht="15" customHeight="1" x14ac:dyDescent="0.2">
      <c r="A36" s="65">
        <v>30</v>
      </c>
      <c r="B36" s="66" t="s">
        <v>217</v>
      </c>
      <c r="C36" s="191">
        <v>0</v>
      </c>
      <c r="D36" s="191">
        <v>0</v>
      </c>
      <c r="E36" s="191">
        <v>0</v>
      </c>
      <c r="F36" s="191">
        <v>0</v>
      </c>
    </row>
    <row r="37" spans="1:6" ht="15" customHeight="1" x14ac:dyDescent="0.2">
      <c r="A37" s="65">
        <v>31</v>
      </c>
      <c r="B37" s="66" t="s">
        <v>79</v>
      </c>
      <c r="C37" s="191">
        <v>0</v>
      </c>
      <c r="D37" s="191">
        <v>0</v>
      </c>
      <c r="E37" s="191">
        <v>0</v>
      </c>
      <c r="F37" s="191">
        <v>0</v>
      </c>
    </row>
    <row r="38" spans="1:6" ht="15" customHeight="1" x14ac:dyDescent="0.2">
      <c r="A38" s="65">
        <v>32</v>
      </c>
      <c r="B38" s="66" t="s">
        <v>52</v>
      </c>
      <c r="C38" s="191">
        <v>0</v>
      </c>
      <c r="D38" s="191">
        <v>0</v>
      </c>
      <c r="E38" s="191">
        <v>0</v>
      </c>
      <c r="F38" s="191">
        <v>0</v>
      </c>
    </row>
    <row r="39" spans="1:6" ht="15" customHeight="1" x14ac:dyDescent="0.2">
      <c r="A39" s="65">
        <v>33</v>
      </c>
      <c r="B39" s="66" t="s">
        <v>218</v>
      </c>
      <c r="C39" s="191">
        <v>0</v>
      </c>
      <c r="D39" s="191">
        <v>0</v>
      </c>
      <c r="E39" s="191">
        <v>0</v>
      </c>
      <c r="F39" s="191">
        <v>0</v>
      </c>
    </row>
    <row r="40" spans="1:6" ht="15" customHeight="1" x14ac:dyDescent="0.2">
      <c r="A40" s="65">
        <v>34</v>
      </c>
      <c r="B40" s="66" t="s">
        <v>219</v>
      </c>
      <c r="C40" s="191">
        <v>0</v>
      </c>
      <c r="D40" s="191">
        <v>0</v>
      </c>
      <c r="E40" s="191">
        <v>0</v>
      </c>
      <c r="F40" s="191">
        <v>0</v>
      </c>
    </row>
    <row r="41" spans="1:6" ht="15" customHeight="1" x14ac:dyDescent="0.2">
      <c r="A41" s="65">
        <v>35</v>
      </c>
      <c r="B41" s="66" t="s">
        <v>220</v>
      </c>
      <c r="C41" s="191">
        <v>33</v>
      </c>
      <c r="D41" s="191">
        <v>23.34</v>
      </c>
      <c r="E41" s="191">
        <v>7</v>
      </c>
      <c r="F41" s="191">
        <v>4.4800000000000004</v>
      </c>
    </row>
    <row r="42" spans="1:6" ht="15" customHeight="1" x14ac:dyDescent="0.2">
      <c r="A42" s="65">
        <v>36</v>
      </c>
      <c r="B42" s="66" t="s">
        <v>72</v>
      </c>
      <c r="C42" s="191">
        <v>3448</v>
      </c>
      <c r="D42" s="191">
        <v>11935</v>
      </c>
      <c r="E42" s="191">
        <v>2124</v>
      </c>
      <c r="F42" s="191">
        <v>3804</v>
      </c>
    </row>
    <row r="43" spans="1:6" ht="15" customHeight="1" x14ac:dyDescent="0.2">
      <c r="A43" s="65">
        <v>37</v>
      </c>
      <c r="B43" s="66" t="s">
        <v>73</v>
      </c>
      <c r="C43" s="191">
        <v>16753</v>
      </c>
      <c r="D43" s="191">
        <v>17670.75</v>
      </c>
      <c r="E43" s="191">
        <v>6332</v>
      </c>
      <c r="F43" s="191">
        <v>9348.83</v>
      </c>
    </row>
    <row r="44" spans="1:6" ht="15" customHeight="1" x14ac:dyDescent="0.2">
      <c r="A44" s="65">
        <v>38</v>
      </c>
      <c r="B44" s="66" t="s">
        <v>221</v>
      </c>
      <c r="C44" s="191">
        <v>0</v>
      </c>
      <c r="D44" s="191">
        <v>0</v>
      </c>
      <c r="E44" s="191">
        <v>0</v>
      </c>
      <c r="F44" s="191">
        <v>0</v>
      </c>
    </row>
    <row r="45" spans="1:6" ht="15" customHeight="1" x14ac:dyDescent="0.2">
      <c r="A45" s="65">
        <v>39</v>
      </c>
      <c r="B45" s="66" t="s">
        <v>222</v>
      </c>
      <c r="C45" s="191">
        <v>6166</v>
      </c>
      <c r="D45" s="191">
        <v>3742</v>
      </c>
      <c r="E45" s="191">
        <v>4754</v>
      </c>
      <c r="F45" s="191">
        <v>3275</v>
      </c>
    </row>
    <row r="46" spans="1:6" ht="15" customHeight="1" x14ac:dyDescent="0.2">
      <c r="A46" s="65">
        <v>40</v>
      </c>
      <c r="B46" s="66" t="s">
        <v>223</v>
      </c>
      <c r="C46" s="191">
        <v>0</v>
      </c>
      <c r="D46" s="191">
        <v>0</v>
      </c>
      <c r="E46" s="191">
        <v>0</v>
      </c>
      <c r="F46" s="191">
        <v>0</v>
      </c>
    </row>
    <row r="47" spans="1:6" ht="15" customHeight="1" x14ac:dyDescent="0.2">
      <c r="A47" s="65">
        <v>41</v>
      </c>
      <c r="B47" s="66" t="s">
        <v>224</v>
      </c>
      <c r="C47" s="191">
        <v>11</v>
      </c>
      <c r="D47" s="191">
        <v>80.41</v>
      </c>
      <c r="E47" s="191">
        <v>2</v>
      </c>
      <c r="F47" s="191">
        <v>2.33</v>
      </c>
    </row>
    <row r="48" spans="1:6" ht="15" customHeight="1" x14ac:dyDescent="0.2">
      <c r="A48" s="65">
        <v>42</v>
      </c>
      <c r="B48" s="66" t="s">
        <v>225</v>
      </c>
      <c r="C48" s="191">
        <v>0</v>
      </c>
      <c r="D48" s="191">
        <v>0</v>
      </c>
      <c r="E48" s="191">
        <v>0</v>
      </c>
      <c r="F48" s="191">
        <v>0</v>
      </c>
    </row>
    <row r="49" spans="1:6" ht="15" customHeight="1" x14ac:dyDescent="0.2">
      <c r="A49" s="65">
        <v>43</v>
      </c>
      <c r="B49" s="66" t="s">
        <v>74</v>
      </c>
      <c r="C49" s="191">
        <v>3558</v>
      </c>
      <c r="D49" s="191">
        <v>7190.02</v>
      </c>
      <c r="E49" s="191">
        <v>1586</v>
      </c>
      <c r="F49" s="191">
        <v>4383.93</v>
      </c>
    </row>
    <row r="50" spans="1:6" ht="15" customHeight="1" x14ac:dyDescent="0.2">
      <c r="A50" s="65">
        <v>44</v>
      </c>
      <c r="B50" s="66" t="s">
        <v>226</v>
      </c>
      <c r="C50" s="191">
        <v>1</v>
      </c>
      <c r="D50" s="191">
        <v>1</v>
      </c>
      <c r="E50" s="191">
        <v>0</v>
      </c>
      <c r="F50" s="191">
        <v>0</v>
      </c>
    </row>
    <row r="51" spans="1:6" ht="15" customHeight="1" x14ac:dyDescent="0.2">
      <c r="A51" s="65">
        <v>45</v>
      </c>
      <c r="B51" s="66" t="s">
        <v>227</v>
      </c>
      <c r="C51" s="191">
        <v>4423</v>
      </c>
      <c r="D51" s="191">
        <v>564.91999999999996</v>
      </c>
      <c r="E51" s="191">
        <v>1349</v>
      </c>
      <c r="F51" s="191">
        <v>198.85</v>
      </c>
    </row>
    <row r="52" spans="1:6" ht="15" customHeight="1" x14ac:dyDescent="0.2">
      <c r="A52" s="65">
        <v>46</v>
      </c>
      <c r="B52" s="66" t="s">
        <v>228</v>
      </c>
      <c r="C52" s="191">
        <v>0</v>
      </c>
      <c r="D52" s="191">
        <v>0</v>
      </c>
      <c r="E52" s="191">
        <v>0</v>
      </c>
      <c r="F52" s="191">
        <v>0</v>
      </c>
    </row>
    <row r="53" spans="1:6" ht="15" customHeight="1" x14ac:dyDescent="0.2">
      <c r="A53" s="65">
        <v>47</v>
      </c>
      <c r="B53" s="66" t="s">
        <v>78</v>
      </c>
      <c r="C53" s="191">
        <v>0</v>
      </c>
      <c r="D53" s="191">
        <v>0</v>
      </c>
      <c r="E53" s="191">
        <v>0</v>
      </c>
      <c r="F53" s="191">
        <v>0</v>
      </c>
    </row>
    <row r="54" spans="1:6" ht="15" customHeight="1" x14ac:dyDescent="0.2">
      <c r="A54" s="65">
        <v>48</v>
      </c>
      <c r="B54" s="66" t="s">
        <v>229</v>
      </c>
      <c r="C54" s="191">
        <v>0</v>
      </c>
      <c r="D54" s="191">
        <v>0</v>
      </c>
      <c r="E54" s="191">
        <v>0</v>
      </c>
      <c r="F54" s="191">
        <v>0</v>
      </c>
    </row>
    <row r="55" spans="1:6" ht="15" customHeight="1" x14ac:dyDescent="0.2">
      <c r="A55" s="65">
        <v>49</v>
      </c>
      <c r="B55" s="66" t="s">
        <v>77</v>
      </c>
      <c r="C55" s="191">
        <v>0</v>
      </c>
      <c r="D55" s="191">
        <v>0</v>
      </c>
      <c r="E55" s="191">
        <v>0</v>
      </c>
      <c r="F55" s="191">
        <v>0</v>
      </c>
    </row>
    <row r="56" spans="1:6" s="200" customFormat="1" ht="15" customHeight="1" x14ac:dyDescent="0.2">
      <c r="A56" s="337"/>
      <c r="B56" s="68" t="s">
        <v>408</v>
      </c>
      <c r="C56" s="193">
        <f>SUM(C34:C55)</f>
        <v>37076</v>
      </c>
      <c r="D56" s="193">
        <f t="shared" ref="D56:F56" si="1">SUM(D34:D55)</f>
        <v>43208.19</v>
      </c>
      <c r="E56" s="193">
        <f t="shared" si="1"/>
        <v>17686</v>
      </c>
      <c r="F56" s="193">
        <f t="shared" si="1"/>
        <v>22536.5</v>
      </c>
    </row>
    <row r="57" spans="1:6" ht="15" customHeight="1" x14ac:dyDescent="0.2">
      <c r="A57" s="65">
        <v>50</v>
      </c>
      <c r="B57" s="66" t="s">
        <v>47</v>
      </c>
      <c r="C57" s="191">
        <v>23920</v>
      </c>
      <c r="D57" s="191">
        <v>22616.55</v>
      </c>
      <c r="E57" s="191">
        <v>35879</v>
      </c>
      <c r="F57" s="191">
        <v>33924.82</v>
      </c>
    </row>
    <row r="58" spans="1:6" ht="15" customHeight="1" x14ac:dyDescent="0.2">
      <c r="A58" s="65">
        <v>51</v>
      </c>
      <c r="B58" s="66" t="s">
        <v>230</v>
      </c>
      <c r="C58" s="191">
        <v>43774</v>
      </c>
      <c r="D58" s="191">
        <v>21619</v>
      </c>
      <c r="E58" s="191">
        <v>16762</v>
      </c>
      <c r="F58" s="191">
        <v>8187</v>
      </c>
    </row>
    <row r="59" spans="1:6" ht="15" customHeight="1" x14ac:dyDescent="0.2">
      <c r="A59" s="65">
        <v>52</v>
      </c>
      <c r="B59" s="66" t="s">
        <v>53</v>
      </c>
      <c r="C59" s="191">
        <v>28932</v>
      </c>
      <c r="D59" s="191">
        <v>28031</v>
      </c>
      <c r="E59" s="191">
        <v>30282</v>
      </c>
      <c r="F59" s="191">
        <v>28570.38</v>
      </c>
    </row>
    <row r="60" spans="1:6" s="200" customFormat="1" ht="15" customHeight="1" x14ac:dyDescent="0.2">
      <c r="A60" s="337"/>
      <c r="B60" s="336" t="s">
        <v>415</v>
      </c>
      <c r="C60" s="193">
        <f>SUM(C57:C59)</f>
        <v>96626</v>
      </c>
      <c r="D60" s="193">
        <f t="shared" ref="D60:F60" si="2">SUM(D57:D59)</f>
        <v>72266.55</v>
      </c>
      <c r="E60" s="193">
        <f t="shared" si="2"/>
        <v>82923</v>
      </c>
      <c r="F60" s="193">
        <f t="shared" si="2"/>
        <v>70682.2</v>
      </c>
    </row>
    <row r="61" spans="1:6" ht="15" customHeight="1" x14ac:dyDescent="0.2">
      <c r="A61" s="65">
        <v>53</v>
      </c>
      <c r="B61" s="333" t="s">
        <v>409</v>
      </c>
      <c r="C61" s="333">
        <v>173563</v>
      </c>
      <c r="D61" s="333">
        <v>61091</v>
      </c>
      <c r="E61" s="333">
        <v>22384</v>
      </c>
      <c r="F61" s="191">
        <v>111087</v>
      </c>
    </row>
    <row r="62" spans="1:6" s="200" customFormat="1" ht="15" customHeight="1" x14ac:dyDescent="0.2">
      <c r="A62" s="337"/>
      <c r="B62" s="336" t="s">
        <v>410</v>
      </c>
      <c r="C62" s="336">
        <f>C61</f>
        <v>173563</v>
      </c>
      <c r="D62" s="336">
        <f t="shared" ref="D62:F62" si="3">D61</f>
        <v>61091</v>
      </c>
      <c r="E62" s="336">
        <f t="shared" si="3"/>
        <v>22384</v>
      </c>
      <c r="F62" s="336">
        <f t="shared" si="3"/>
        <v>111087</v>
      </c>
    </row>
    <row r="63" spans="1:6" s="200" customFormat="1" ht="15" customHeight="1" x14ac:dyDescent="0.2">
      <c r="A63" s="337"/>
      <c r="B63" s="336" t="s">
        <v>411</v>
      </c>
      <c r="C63" s="193">
        <f>C62+C60+C56+C33</f>
        <v>641044</v>
      </c>
      <c r="D63" s="193">
        <f t="shared" ref="D63:F63" si="4">D62+D60+D56+D33</f>
        <v>797013.43</v>
      </c>
      <c r="E63" s="193">
        <f t="shared" si="4"/>
        <v>469769</v>
      </c>
      <c r="F63" s="193">
        <f t="shared" si="4"/>
        <v>603182.36</v>
      </c>
    </row>
    <row r="66" spans="4:4" x14ac:dyDescent="0.2">
      <c r="D66" s="6"/>
    </row>
  </sheetData>
  <mergeCells count="6">
    <mergeCell ref="A1:F1"/>
    <mergeCell ref="B3:D3"/>
    <mergeCell ref="A4:A5"/>
    <mergeCell ref="B4:B5"/>
    <mergeCell ref="C4:D4"/>
    <mergeCell ref="E4:F4"/>
  </mergeCells>
  <conditionalFormatting sqref="B6">
    <cfRule type="duplicateValues" dxfId="17" priority="1"/>
  </conditionalFormatting>
  <conditionalFormatting sqref="B22">
    <cfRule type="duplicateValues" dxfId="16" priority="2"/>
  </conditionalFormatting>
  <conditionalFormatting sqref="B33:B34 B26:B30">
    <cfRule type="duplicateValues" dxfId="15" priority="3"/>
  </conditionalFormatting>
  <conditionalFormatting sqref="B52">
    <cfRule type="duplicateValues" dxfId="14" priority="4"/>
  </conditionalFormatting>
  <conditionalFormatting sqref="B56">
    <cfRule type="duplicateValues" dxfId="13" priority="5"/>
  </conditionalFormatting>
  <conditionalFormatting sqref="B58">
    <cfRule type="duplicateValues" dxfId="12" priority="6"/>
  </conditionalFormatting>
  <pageMargins left="0.7" right="0.7" top="0.25" bottom="0.25" header="0.3" footer="0.3"/>
  <pageSetup paperSize="9"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3"/>
  <sheetViews>
    <sheetView view="pageBreakPreview" zoomScale="60" zoomScaleNormal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I15" sqref="I15"/>
    </sheetView>
  </sheetViews>
  <sheetFormatPr defaultRowHeight="12.75" x14ac:dyDescent="0.2"/>
  <cols>
    <col min="1" max="1" width="5" style="229" customWidth="1"/>
    <col min="2" max="2" width="24.42578125" style="229" bestFit="1" customWidth="1"/>
    <col min="3" max="3" width="15" style="231" customWidth="1"/>
    <col min="4" max="4" width="12.42578125" style="231" customWidth="1"/>
    <col min="5" max="5" width="15.85546875" style="231" customWidth="1"/>
    <col min="6" max="6" width="14" style="231" customWidth="1"/>
    <col min="7" max="16384" width="9.140625" style="229"/>
  </cols>
  <sheetData>
    <row r="1" spans="1:6" ht="18.75" x14ac:dyDescent="0.2">
      <c r="A1" s="489" t="s">
        <v>490</v>
      </c>
      <c r="B1" s="489"/>
      <c r="C1" s="489"/>
      <c r="D1" s="489"/>
      <c r="E1" s="489"/>
      <c r="F1" s="489"/>
    </row>
    <row r="2" spans="1:6" ht="14.25" x14ac:dyDescent="0.2">
      <c r="A2" s="49"/>
      <c r="B2" s="49"/>
      <c r="C2" s="214"/>
      <c r="D2" s="214"/>
      <c r="E2" s="214"/>
      <c r="F2" s="214"/>
    </row>
    <row r="3" spans="1:6" ht="15.75" x14ac:dyDescent="0.2">
      <c r="A3" s="34"/>
      <c r="B3" s="517" t="s">
        <v>12</v>
      </c>
      <c r="C3" s="517"/>
      <c r="D3" s="517"/>
      <c r="F3" s="230" t="s">
        <v>188</v>
      </c>
    </row>
    <row r="4" spans="1:6" ht="15" customHeight="1" x14ac:dyDescent="0.2">
      <c r="A4" s="494" t="s">
        <v>232</v>
      </c>
      <c r="B4" s="494" t="s">
        <v>3</v>
      </c>
      <c r="C4" s="480" t="s">
        <v>185</v>
      </c>
      <c r="D4" s="480"/>
      <c r="E4" s="480" t="s">
        <v>186</v>
      </c>
      <c r="F4" s="480"/>
    </row>
    <row r="5" spans="1:6" ht="15" customHeight="1" x14ac:dyDescent="0.2">
      <c r="A5" s="494"/>
      <c r="B5" s="494"/>
      <c r="C5" s="339" t="s">
        <v>30</v>
      </c>
      <c r="D5" s="339" t="s">
        <v>17</v>
      </c>
      <c r="E5" s="339" t="s">
        <v>30</v>
      </c>
      <c r="F5" s="339" t="s">
        <v>17</v>
      </c>
    </row>
    <row r="6" spans="1:6" ht="15" customHeight="1" x14ac:dyDescent="0.2">
      <c r="A6" s="65">
        <v>1</v>
      </c>
      <c r="B6" s="66" t="s">
        <v>56</v>
      </c>
      <c r="C6" s="191">
        <v>478</v>
      </c>
      <c r="D6" s="191">
        <v>986</v>
      </c>
      <c r="E6" s="191">
        <v>285</v>
      </c>
      <c r="F6" s="191">
        <v>397</v>
      </c>
    </row>
    <row r="7" spans="1:6" ht="15" customHeight="1" x14ac:dyDescent="0.2">
      <c r="A7" s="65">
        <v>2</v>
      </c>
      <c r="B7" s="66" t="s">
        <v>57</v>
      </c>
      <c r="C7" s="191">
        <v>42</v>
      </c>
      <c r="D7" s="191">
        <v>85.5</v>
      </c>
      <c r="E7" s="191">
        <v>21</v>
      </c>
      <c r="F7" s="191">
        <v>60</v>
      </c>
    </row>
    <row r="8" spans="1:6" ht="15" customHeight="1" x14ac:dyDescent="0.2">
      <c r="A8" s="65">
        <v>3</v>
      </c>
      <c r="B8" s="66" t="s">
        <v>58</v>
      </c>
      <c r="C8" s="191">
        <v>1766</v>
      </c>
      <c r="D8" s="191">
        <v>2040</v>
      </c>
      <c r="E8" s="191">
        <v>532</v>
      </c>
      <c r="F8" s="191">
        <v>837</v>
      </c>
    </row>
    <row r="9" spans="1:6" ht="15" customHeight="1" x14ac:dyDescent="0.2">
      <c r="A9" s="65">
        <v>4</v>
      </c>
      <c r="B9" s="66" t="s">
        <v>59</v>
      </c>
      <c r="C9" s="191">
        <v>365</v>
      </c>
      <c r="D9" s="191">
        <v>185</v>
      </c>
      <c r="E9" s="191">
        <v>252</v>
      </c>
      <c r="F9" s="191">
        <v>290</v>
      </c>
    </row>
    <row r="10" spans="1:6" ht="15" customHeight="1" x14ac:dyDescent="0.2">
      <c r="A10" s="65">
        <v>5</v>
      </c>
      <c r="B10" s="66" t="s">
        <v>60</v>
      </c>
      <c r="C10" s="191">
        <v>389</v>
      </c>
      <c r="D10" s="191">
        <v>589</v>
      </c>
      <c r="E10" s="191">
        <v>323</v>
      </c>
      <c r="F10" s="191">
        <v>475</v>
      </c>
    </row>
    <row r="11" spans="1:6" ht="15" customHeight="1" x14ac:dyDescent="0.2">
      <c r="A11" s="65">
        <v>6</v>
      </c>
      <c r="B11" s="199" t="s">
        <v>244</v>
      </c>
      <c r="C11" s="191">
        <v>9</v>
      </c>
      <c r="D11" s="191">
        <v>19.2</v>
      </c>
      <c r="E11" s="191">
        <v>3</v>
      </c>
      <c r="F11" s="191">
        <v>7.8</v>
      </c>
    </row>
    <row r="12" spans="1:6" ht="15" customHeight="1" x14ac:dyDescent="0.2">
      <c r="A12" s="65">
        <v>7</v>
      </c>
      <c r="B12" s="66" t="s">
        <v>61</v>
      </c>
      <c r="C12" s="191">
        <v>255</v>
      </c>
      <c r="D12" s="191">
        <v>601</v>
      </c>
      <c r="E12" s="191">
        <v>201</v>
      </c>
      <c r="F12" s="191">
        <v>487</v>
      </c>
    </row>
    <row r="13" spans="1:6" ht="15" customHeight="1" x14ac:dyDescent="0.2">
      <c r="A13" s="65">
        <v>8</v>
      </c>
      <c r="B13" s="66" t="s">
        <v>62</v>
      </c>
      <c r="C13" s="191">
        <v>503</v>
      </c>
      <c r="D13" s="191">
        <v>954</v>
      </c>
      <c r="E13" s="191">
        <v>214</v>
      </c>
      <c r="F13" s="191">
        <v>1135</v>
      </c>
    </row>
    <row r="14" spans="1:6" ht="15" customHeight="1" x14ac:dyDescent="0.2">
      <c r="A14" s="65">
        <v>9</v>
      </c>
      <c r="B14" s="66" t="s">
        <v>49</v>
      </c>
      <c r="C14" s="191">
        <v>1387</v>
      </c>
      <c r="D14" s="191">
        <v>2804</v>
      </c>
      <c r="E14" s="191">
        <v>892</v>
      </c>
      <c r="F14" s="191">
        <v>2074</v>
      </c>
    </row>
    <row r="15" spans="1:6" ht="15" customHeight="1" x14ac:dyDescent="0.2">
      <c r="A15" s="65">
        <v>10</v>
      </c>
      <c r="B15" s="66" t="s">
        <v>50</v>
      </c>
      <c r="C15" s="191">
        <v>247</v>
      </c>
      <c r="D15" s="191">
        <v>412</v>
      </c>
      <c r="E15" s="191">
        <v>123</v>
      </c>
      <c r="F15" s="191">
        <v>256</v>
      </c>
    </row>
    <row r="16" spans="1:6" ht="15" customHeight="1" x14ac:dyDescent="0.2">
      <c r="A16" s="65">
        <v>11</v>
      </c>
      <c r="B16" s="66" t="s">
        <v>82</v>
      </c>
      <c r="C16" s="191">
        <v>2697</v>
      </c>
      <c r="D16" s="191">
        <v>1036</v>
      </c>
      <c r="E16" s="191">
        <v>1666</v>
      </c>
      <c r="F16" s="191">
        <v>768</v>
      </c>
    </row>
    <row r="17" spans="1:6" ht="15" customHeight="1" x14ac:dyDescent="0.2">
      <c r="A17" s="65">
        <v>12</v>
      </c>
      <c r="B17" s="66" t="s">
        <v>63</v>
      </c>
      <c r="C17" s="191">
        <v>40</v>
      </c>
      <c r="D17" s="191">
        <v>93</v>
      </c>
      <c r="E17" s="191">
        <v>20</v>
      </c>
      <c r="F17" s="191">
        <v>25</v>
      </c>
    </row>
    <row r="18" spans="1:6" ht="15" customHeight="1" x14ac:dyDescent="0.2">
      <c r="A18" s="65">
        <v>13</v>
      </c>
      <c r="B18" s="66" t="s">
        <v>64</v>
      </c>
      <c r="C18" s="191">
        <v>78</v>
      </c>
      <c r="D18" s="191">
        <v>136</v>
      </c>
      <c r="E18" s="191">
        <v>19</v>
      </c>
      <c r="F18" s="191">
        <v>27</v>
      </c>
    </row>
    <row r="19" spans="1:6" ht="15" customHeight="1" x14ac:dyDescent="0.2">
      <c r="A19" s="65">
        <v>14</v>
      </c>
      <c r="B19" s="100" t="s">
        <v>208</v>
      </c>
      <c r="C19" s="191">
        <v>65</v>
      </c>
      <c r="D19" s="191">
        <v>109.31</v>
      </c>
      <c r="E19" s="191">
        <v>38</v>
      </c>
      <c r="F19" s="191">
        <v>50.73</v>
      </c>
    </row>
    <row r="20" spans="1:6" ht="15" customHeight="1" x14ac:dyDescent="0.2">
      <c r="A20" s="65">
        <v>15</v>
      </c>
      <c r="B20" s="66" t="s">
        <v>209</v>
      </c>
      <c r="C20" s="191">
        <v>27</v>
      </c>
      <c r="D20" s="191">
        <v>55</v>
      </c>
      <c r="E20" s="191">
        <v>12</v>
      </c>
      <c r="F20" s="191">
        <v>13</v>
      </c>
    </row>
    <row r="21" spans="1:6" ht="15" customHeight="1" x14ac:dyDescent="0.2">
      <c r="A21" s="65">
        <v>16</v>
      </c>
      <c r="B21" s="66" t="s">
        <v>65</v>
      </c>
      <c r="C21" s="191">
        <v>4401</v>
      </c>
      <c r="D21" s="191">
        <v>6839.33</v>
      </c>
      <c r="E21" s="191">
        <v>2071</v>
      </c>
      <c r="F21" s="191">
        <v>3395.87</v>
      </c>
    </row>
    <row r="22" spans="1:6" ht="15" customHeight="1" x14ac:dyDescent="0.2">
      <c r="A22" s="65">
        <v>17</v>
      </c>
      <c r="B22" s="100" t="s">
        <v>70</v>
      </c>
      <c r="C22" s="191">
        <v>37</v>
      </c>
      <c r="D22" s="191">
        <v>43.9</v>
      </c>
      <c r="E22" s="191">
        <v>44</v>
      </c>
      <c r="F22" s="191">
        <v>93.87</v>
      </c>
    </row>
    <row r="23" spans="1:6" ht="15" customHeight="1" x14ac:dyDescent="0.2">
      <c r="A23" s="65">
        <v>18</v>
      </c>
      <c r="B23" s="66" t="s">
        <v>210</v>
      </c>
      <c r="C23" s="191">
        <v>0</v>
      </c>
      <c r="D23" s="191">
        <v>0</v>
      </c>
      <c r="E23" s="191">
        <v>0</v>
      </c>
      <c r="F23" s="191">
        <v>0</v>
      </c>
    </row>
    <row r="24" spans="1:6" ht="15" customHeight="1" x14ac:dyDescent="0.2">
      <c r="A24" s="65">
        <v>19</v>
      </c>
      <c r="B24" s="101" t="s">
        <v>211</v>
      </c>
      <c r="C24" s="191">
        <v>10</v>
      </c>
      <c r="D24" s="191">
        <v>75</v>
      </c>
      <c r="E24" s="191">
        <v>5</v>
      </c>
      <c r="F24" s="191">
        <v>20</v>
      </c>
    </row>
    <row r="25" spans="1:6" ht="15" customHeight="1" x14ac:dyDescent="0.2">
      <c r="A25" s="65">
        <v>20</v>
      </c>
      <c r="B25" s="66" t="s">
        <v>212</v>
      </c>
      <c r="C25" s="191">
        <v>145</v>
      </c>
      <c r="D25" s="191">
        <v>145</v>
      </c>
      <c r="E25" s="191">
        <v>98</v>
      </c>
      <c r="F25" s="191">
        <v>235</v>
      </c>
    </row>
    <row r="26" spans="1:6" ht="15" customHeight="1" x14ac:dyDescent="0.2">
      <c r="A26" s="65">
        <v>21</v>
      </c>
      <c r="B26" s="66" t="s">
        <v>213</v>
      </c>
      <c r="C26" s="191">
        <v>0</v>
      </c>
      <c r="D26" s="191">
        <v>0</v>
      </c>
      <c r="E26" s="191">
        <v>0</v>
      </c>
      <c r="F26" s="191">
        <v>0</v>
      </c>
    </row>
    <row r="27" spans="1:6" ht="15" customHeight="1" x14ac:dyDescent="0.2">
      <c r="A27" s="65">
        <v>22</v>
      </c>
      <c r="B27" s="66" t="s">
        <v>71</v>
      </c>
      <c r="C27" s="191">
        <v>2183</v>
      </c>
      <c r="D27" s="191">
        <v>7123</v>
      </c>
      <c r="E27" s="191">
        <v>1220</v>
      </c>
      <c r="F27" s="191">
        <v>3655</v>
      </c>
    </row>
    <row r="28" spans="1:6" ht="15" customHeight="1" x14ac:dyDescent="0.2">
      <c r="A28" s="65">
        <v>23</v>
      </c>
      <c r="B28" s="66" t="s">
        <v>66</v>
      </c>
      <c r="C28" s="191">
        <v>239</v>
      </c>
      <c r="D28" s="191">
        <v>497</v>
      </c>
      <c r="E28" s="191">
        <v>139</v>
      </c>
      <c r="F28" s="191">
        <v>193</v>
      </c>
    </row>
    <row r="29" spans="1:6" ht="15" customHeight="1" x14ac:dyDescent="0.2">
      <c r="A29" s="65">
        <v>24</v>
      </c>
      <c r="B29" s="66" t="s">
        <v>214</v>
      </c>
      <c r="C29" s="191">
        <v>93</v>
      </c>
      <c r="D29" s="191">
        <v>443</v>
      </c>
      <c r="E29" s="191">
        <v>27</v>
      </c>
      <c r="F29" s="191">
        <v>29</v>
      </c>
    </row>
    <row r="30" spans="1:6" ht="15" customHeight="1" x14ac:dyDescent="0.2">
      <c r="A30" s="65">
        <v>25</v>
      </c>
      <c r="B30" s="66" t="s">
        <v>67</v>
      </c>
      <c r="C30" s="191">
        <v>401</v>
      </c>
      <c r="D30" s="191">
        <v>254</v>
      </c>
      <c r="E30" s="191">
        <v>154</v>
      </c>
      <c r="F30" s="191">
        <v>82</v>
      </c>
    </row>
    <row r="31" spans="1:6" ht="15" customHeight="1" x14ac:dyDescent="0.2">
      <c r="A31" s="65">
        <v>26</v>
      </c>
      <c r="B31" s="199" t="s">
        <v>68</v>
      </c>
      <c r="C31" s="191">
        <v>3</v>
      </c>
      <c r="D31" s="191">
        <v>3.6</v>
      </c>
      <c r="E31" s="191">
        <v>1</v>
      </c>
      <c r="F31" s="191">
        <v>1</v>
      </c>
    </row>
    <row r="32" spans="1:6" ht="15" customHeight="1" x14ac:dyDescent="0.2">
      <c r="A32" s="65">
        <v>27</v>
      </c>
      <c r="B32" s="66" t="s">
        <v>51</v>
      </c>
      <c r="C32" s="191">
        <v>73</v>
      </c>
      <c r="D32" s="191">
        <v>1701</v>
      </c>
      <c r="E32" s="191">
        <v>38</v>
      </c>
      <c r="F32" s="191">
        <v>76.209999999999994</v>
      </c>
    </row>
    <row r="33" spans="1:6" s="342" customFormat="1" ht="15" customHeight="1" x14ac:dyDescent="0.2">
      <c r="A33" s="337" t="s">
        <v>488</v>
      </c>
      <c r="B33" s="68" t="s">
        <v>407</v>
      </c>
      <c r="C33" s="193">
        <f>SUM(C6:C32)</f>
        <v>15933</v>
      </c>
      <c r="D33" s="193">
        <f t="shared" ref="D33:F33" si="0">SUM(D6:D32)</f>
        <v>27229.84</v>
      </c>
      <c r="E33" s="193">
        <f t="shared" si="0"/>
        <v>8398</v>
      </c>
      <c r="F33" s="193">
        <f t="shared" si="0"/>
        <v>14683.48</v>
      </c>
    </row>
    <row r="34" spans="1:6" ht="15" customHeight="1" x14ac:dyDescent="0.2">
      <c r="A34" s="65">
        <v>28</v>
      </c>
      <c r="B34" s="66" t="s">
        <v>48</v>
      </c>
      <c r="C34" s="191">
        <v>1267</v>
      </c>
      <c r="D34" s="191">
        <v>453.83</v>
      </c>
      <c r="E34" s="191">
        <v>863</v>
      </c>
      <c r="F34" s="191">
        <v>277.75</v>
      </c>
    </row>
    <row r="35" spans="1:6" ht="15" customHeight="1" x14ac:dyDescent="0.2">
      <c r="A35" s="65">
        <v>29</v>
      </c>
      <c r="B35" s="66" t="s">
        <v>216</v>
      </c>
      <c r="C35" s="191">
        <v>0</v>
      </c>
      <c r="D35" s="191">
        <v>0</v>
      </c>
      <c r="E35" s="191">
        <v>0</v>
      </c>
      <c r="F35" s="191">
        <v>0</v>
      </c>
    </row>
    <row r="36" spans="1:6" ht="15" customHeight="1" x14ac:dyDescent="0.2">
      <c r="A36" s="65">
        <v>30</v>
      </c>
      <c r="B36" s="66" t="s">
        <v>217</v>
      </c>
      <c r="C36" s="191">
        <v>0</v>
      </c>
      <c r="D36" s="191">
        <v>0</v>
      </c>
      <c r="E36" s="191">
        <v>0</v>
      </c>
      <c r="F36" s="191">
        <v>0</v>
      </c>
    </row>
    <row r="37" spans="1:6" ht="15" customHeight="1" x14ac:dyDescent="0.2">
      <c r="A37" s="65">
        <v>31</v>
      </c>
      <c r="B37" s="66" t="s">
        <v>79</v>
      </c>
      <c r="C37" s="191">
        <v>0</v>
      </c>
      <c r="D37" s="191">
        <v>0</v>
      </c>
      <c r="E37" s="191">
        <v>0</v>
      </c>
      <c r="F37" s="191">
        <v>0</v>
      </c>
    </row>
    <row r="38" spans="1:6" ht="15" customHeight="1" x14ac:dyDescent="0.2">
      <c r="A38" s="65">
        <v>32</v>
      </c>
      <c r="B38" s="66" t="s">
        <v>52</v>
      </c>
      <c r="C38" s="191">
        <v>0</v>
      </c>
      <c r="D38" s="191">
        <v>0</v>
      </c>
      <c r="E38" s="191">
        <v>0</v>
      </c>
      <c r="F38" s="191">
        <v>0</v>
      </c>
    </row>
    <row r="39" spans="1:6" ht="15" customHeight="1" x14ac:dyDescent="0.2">
      <c r="A39" s="65">
        <v>33</v>
      </c>
      <c r="B39" s="66" t="s">
        <v>218</v>
      </c>
      <c r="C39" s="191">
        <v>0</v>
      </c>
      <c r="D39" s="191">
        <v>0</v>
      </c>
      <c r="E39" s="191">
        <v>0</v>
      </c>
      <c r="F39" s="191">
        <v>0</v>
      </c>
    </row>
    <row r="40" spans="1:6" ht="15" customHeight="1" x14ac:dyDescent="0.2">
      <c r="A40" s="65">
        <v>34</v>
      </c>
      <c r="B40" s="66" t="s">
        <v>219</v>
      </c>
      <c r="C40" s="191">
        <v>0</v>
      </c>
      <c r="D40" s="191">
        <v>0</v>
      </c>
      <c r="E40" s="191">
        <v>0</v>
      </c>
      <c r="F40" s="191">
        <v>0</v>
      </c>
    </row>
    <row r="41" spans="1:6" ht="15" customHeight="1" x14ac:dyDescent="0.2">
      <c r="A41" s="65">
        <v>35</v>
      </c>
      <c r="B41" s="66" t="s">
        <v>220</v>
      </c>
      <c r="C41" s="191">
        <v>33</v>
      </c>
      <c r="D41" s="191">
        <v>23.34</v>
      </c>
      <c r="E41" s="191">
        <v>7</v>
      </c>
      <c r="F41" s="191">
        <v>4.4800000000000004</v>
      </c>
    </row>
    <row r="42" spans="1:6" ht="15" customHeight="1" x14ac:dyDescent="0.2">
      <c r="A42" s="65">
        <v>36</v>
      </c>
      <c r="B42" s="66" t="s">
        <v>72</v>
      </c>
      <c r="C42" s="191">
        <v>305</v>
      </c>
      <c r="D42" s="191">
        <v>840</v>
      </c>
      <c r="E42" s="191">
        <v>203</v>
      </c>
      <c r="F42" s="191">
        <v>497</v>
      </c>
    </row>
    <row r="43" spans="1:6" ht="15" customHeight="1" x14ac:dyDescent="0.2">
      <c r="A43" s="65">
        <v>37</v>
      </c>
      <c r="B43" s="66" t="s">
        <v>73</v>
      </c>
      <c r="C43" s="191">
        <v>7971</v>
      </c>
      <c r="D43" s="191">
        <v>7314.62</v>
      </c>
      <c r="E43" s="191">
        <v>3303</v>
      </c>
      <c r="F43" s="191">
        <v>4150.74</v>
      </c>
    </row>
    <row r="44" spans="1:6" ht="15" customHeight="1" x14ac:dyDescent="0.2">
      <c r="A44" s="65">
        <v>38</v>
      </c>
      <c r="B44" s="66" t="s">
        <v>221</v>
      </c>
      <c r="C44" s="191">
        <v>0</v>
      </c>
      <c r="D44" s="191">
        <v>0</v>
      </c>
      <c r="E44" s="191">
        <v>0</v>
      </c>
      <c r="F44" s="191">
        <v>0</v>
      </c>
    </row>
    <row r="45" spans="1:6" ht="15" customHeight="1" x14ac:dyDescent="0.2">
      <c r="A45" s="65">
        <v>39</v>
      </c>
      <c r="B45" s="66" t="s">
        <v>222</v>
      </c>
      <c r="C45" s="191">
        <v>1664</v>
      </c>
      <c r="D45" s="191">
        <v>1126</v>
      </c>
      <c r="E45" s="191">
        <v>1265</v>
      </c>
      <c r="F45" s="191">
        <v>1076</v>
      </c>
    </row>
    <row r="46" spans="1:6" ht="15" customHeight="1" x14ac:dyDescent="0.2">
      <c r="A46" s="65">
        <v>40</v>
      </c>
      <c r="B46" s="66" t="s">
        <v>223</v>
      </c>
      <c r="C46" s="191">
        <v>0</v>
      </c>
      <c r="D46" s="191">
        <v>0</v>
      </c>
      <c r="E46" s="191">
        <v>0</v>
      </c>
      <c r="F46" s="191">
        <v>0</v>
      </c>
    </row>
    <row r="47" spans="1:6" ht="15" customHeight="1" x14ac:dyDescent="0.2">
      <c r="A47" s="65">
        <v>41</v>
      </c>
      <c r="B47" s="66" t="s">
        <v>224</v>
      </c>
      <c r="C47" s="191">
        <v>3</v>
      </c>
      <c r="D47" s="191">
        <v>19.29</v>
      </c>
      <c r="E47" s="191">
        <v>0</v>
      </c>
      <c r="F47" s="191">
        <v>0</v>
      </c>
    </row>
    <row r="48" spans="1:6" ht="15" customHeight="1" x14ac:dyDescent="0.2">
      <c r="A48" s="65">
        <v>42</v>
      </c>
      <c r="B48" s="66" t="s">
        <v>225</v>
      </c>
      <c r="C48" s="191">
        <v>0</v>
      </c>
      <c r="D48" s="191">
        <v>0</v>
      </c>
      <c r="E48" s="191">
        <v>0</v>
      </c>
      <c r="F48" s="191">
        <v>0</v>
      </c>
    </row>
    <row r="49" spans="1:6" ht="15" customHeight="1" x14ac:dyDescent="0.2">
      <c r="A49" s="65">
        <v>43</v>
      </c>
      <c r="B49" s="66" t="s">
        <v>74</v>
      </c>
      <c r="C49" s="191">
        <v>112</v>
      </c>
      <c r="D49" s="191">
        <v>201.56</v>
      </c>
      <c r="E49" s="191">
        <v>56</v>
      </c>
      <c r="F49" s="191">
        <v>86.3</v>
      </c>
    </row>
    <row r="50" spans="1:6" ht="15" customHeight="1" x14ac:dyDescent="0.2">
      <c r="A50" s="65">
        <v>44</v>
      </c>
      <c r="B50" s="66" t="s">
        <v>226</v>
      </c>
      <c r="C50" s="191">
        <v>1</v>
      </c>
      <c r="D50" s="191">
        <v>1</v>
      </c>
      <c r="E50" s="191">
        <v>0</v>
      </c>
      <c r="F50" s="191">
        <v>0</v>
      </c>
    </row>
    <row r="51" spans="1:6" ht="15" customHeight="1" x14ac:dyDescent="0.2">
      <c r="A51" s="65">
        <v>45</v>
      </c>
      <c r="B51" s="66" t="s">
        <v>227</v>
      </c>
      <c r="C51" s="191">
        <v>1845</v>
      </c>
      <c r="D51" s="191">
        <v>62.26</v>
      </c>
      <c r="E51" s="191">
        <v>857</v>
      </c>
      <c r="F51" s="191">
        <v>22.84</v>
      </c>
    </row>
    <row r="52" spans="1:6" ht="15" customHeight="1" x14ac:dyDescent="0.2">
      <c r="A52" s="65">
        <v>46</v>
      </c>
      <c r="B52" s="66" t="s">
        <v>228</v>
      </c>
      <c r="C52" s="191">
        <v>0</v>
      </c>
      <c r="D52" s="191">
        <v>0</v>
      </c>
      <c r="E52" s="191">
        <v>0</v>
      </c>
      <c r="F52" s="191">
        <v>0</v>
      </c>
    </row>
    <row r="53" spans="1:6" ht="15" customHeight="1" x14ac:dyDescent="0.2">
      <c r="A53" s="65">
        <v>47</v>
      </c>
      <c r="B53" s="66" t="s">
        <v>78</v>
      </c>
      <c r="C53" s="191">
        <v>0</v>
      </c>
      <c r="D53" s="191">
        <v>0</v>
      </c>
      <c r="E53" s="191">
        <v>0</v>
      </c>
      <c r="F53" s="191">
        <v>0</v>
      </c>
    </row>
    <row r="54" spans="1:6" ht="15" customHeight="1" x14ac:dyDescent="0.2">
      <c r="A54" s="65">
        <v>48</v>
      </c>
      <c r="B54" s="66" t="s">
        <v>229</v>
      </c>
      <c r="C54" s="191">
        <v>0</v>
      </c>
      <c r="D54" s="191">
        <v>0</v>
      </c>
      <c r="E54" s="191">
        <v>0</v>
      </c>
      <c r="F54" s="191">
        <v>0</v>
      </c>
    </row>
    <row r="55" spans="1:6" ht="15" customHeight="1" x14ac:dyDescent="0.2">
      <c r="A55" s="65">
        <v>49</v>
      </c>
      <c r="B55" s="66" t="s">
        <v>77</v>
      </c>
      <c r="C55" s="191">
        <v>0</v>
      </c>
      <c r="D55" s="191">
        <v>0</v>
      </c>
      <c r="E55" s="191">
        <v>0</v>
      </c>
      <c r="F55" s="191">
        <v>0</v>
      </c>
    </row>
    <row r="56" spans="1:6" s="342" customFormat="1" ht="15" customHeight="1" x14ac:dyDescent="0.2">
      <c r="A56" s="68" t="s">
        <v>488</v>
      </c>
      <c r="B56" s="68" t="s">
        <v>408</v>
      </c>
      <c r="C56" s="193">
        <f>SUM(C34:C55)</f>
        <v>13201</v>
      </c>
      <c r="D56" s="193">
        <f t="shared" ref="D56:F56" si="1">SUM(D34:D55)</f>
        <v>10041.900000000001</v>
      </c>
      <c r="E56" s="193">
        <f t="shared" si="1"/>
        <v>6554</v>
      </c>
      <c r="F56" s="193">
        <f t="shared" si="1"/>
        <v>6115.11</v>
      </c>
    </row>
    <row r="57" spans="1:6" ht="15" customHeight="1" x14ac:dyDescent="0.2">
      <c r="A57" s="65">
        <v>50</v>
      </c>
      <c r="B57" s="66" t="s">
        <v>47</v>
      </c>
      <c r="C57" s="191">
        <v>1867</v>
      </c>
      <c r="D57" s="191">
        <v>2619.14</v>
      </c>
      <c r="E57" s="191">
        <v>2797</v>
      </c>
      <c r="F57" s="191">
        <v>2928.7</v>
      </c>
    </row>
    <row r="58" spans="1:6" ht="15" customHeight="1" x14ac:dyDescent="0.2">
      <c r="A58" s="65">
        <v>51</v>
      </c>
      <c r="B58" s="66" t="s">
        <v>230</v>
      </c>
      <c r="C58" s="191">
        <v>52251</v>
      </c>
      <c r="D58" s="191">
        <v>4394</v>
      </c>
      <c r="E58" s="191">
        <v>15419</v>
      </c>
      <c r="F58" s="191">
        <v>1646</v>
      </c>
    </row>
    <row r="59" spans="1:6" ht="15" customHeight="1" x14ac:dyDescent="0.2">
      <c r="A59" s="65">
        <v>52</v>
      </c>
      <c r="B59" s="66" t="s">
        <v>53</v>
      </c>
      <c r="C59" s="191">
        <v>564</v>
      </c>
      <c r="D59" s="191">
        <v>546.89</v>
      </c>
      <c r="E59" s="191">
        <v>588</v>
      </c>
      <c r="F59" s="191">
        <v>555.97</v>
      </c>
    </row>
    <row r="60" spans="1:6" s="342" customFormat="1" ht="15" customHeight="1" x14ac:dyDescent="0.2">
      <c r="A60" s="335" t="s">
        <v>488</v>
      </c>
      <c r="B60" s="336" t="s">
        <v>415</v>
      </c>
      <c r="C60" s="193">
        <f>SUM(C57:C59)</f>
        <v>54682</v>
      </c>
      <c r="D60" s="193">
        <f t="shared" ref="D60:F60" si="2">SUM(D57:D59)</f>
        <v>7560.03</v>
      </c>
      <c r="E60" s="193">
        <f t="shared" si="2"/>
        <v>18804</v>
      </c>
      <c r="F60" s="193">
        <f t="shared" si="2"/>
        <v>5130.67</v>
      </c>
    </row>
    <row r="61" spans="1:6" ht="15" customHeight="1" x14ac:dyDescent="0.2">
      <c r="A61" s="332">
        <v>53</v>
      </c>
      <c r="B61" s="333" t="s">
        <v>409</v>
      </c>
      <c r="C61" s="191">
        <v>12251</v>
      </c>
      <c r="D61" s="191">
        <v>9471</v>
      </c>
      <c r="E61" s="191">
        <v>92100</v>
      </c>
      <c r="F61" s="191">
        <v>70620</v>
      </c>
    </row>
    <row r="62" spans="1:6" s="342" customFormat="1" ht="15" customHeight="1" x14ac:dyDescent="0.2">
      <c r="A62" s="335" t="s">
        <v>488</v>
      </c>
      <c r="B62" s="336" t="s">
        <v>410</v>
      </c>
      <c r="C62" s="193">
        <v>12251</v>
      </c>
      <c r="D62" s="193">
        <v>9471</v>
      </c>
      <c r="E62" s="193">
        <v>2103</v>
      </c>
      <c r="F62" s="193">
        <v>620</v>
      </c>
    </row>
    <row r="63" spans="1:6" s="342" customFormat="1" ht="15" customHeight="1" x14ac:dyDescent="0.2">
      <c r="A63" s="335" t="s">
        <v>488</v>
      </c>
      <c r="B63" s="336" t="s">
        <v>411</v>
      </c>
      <c r="C63" s="193">
        <f>C62+C60+C56+C33</f>
        <v>96067</v>
      </c>
      <c r="D63" s="193">
        <f t="shared" ref="D63:F63" si="3">D62+D60+D56+D33</f>
        <v>54302.770000000004</v>
      </c>
      <c r="E63" s="193">
        <f t="shared" si="3"/>
        <v>35859</v>
      </c>
      <c r="F63" s="193">
        <f t="shared" si="3"/>
        <v>26549.26</v>
      </c>
    </row>
  </sheetData>
  <mergeCells count="6">
    <mergeCell ref="A1:F1"/>
    <mergeCell ref="B3:D3"/>
    <mergeCell ref="A4:A5"/>
    <mergeCell ref="B4:B5"/>
    <mergeCell ref="C4:D4"/>
    <mergeCell ref="E4:F4"/>
  </mergeCells>
  <conditionalFormatting sqref="B6">
    <cfRule type="duplicateValues" dxfId="11" priority="1"/>
  </conditionalFormatting>
  <conditionalFormatting sqref="B22">
    <cfRule type="duplicateValues" dxfId="10" priority="2"/>
  </conditionalFormatting>
  <conditionalFormatting sqref="B33:B34 B26:B30">
    <cfRule type="duplicateValues" dxfId="9" priority="3"/>
  </conditionalFormatting>
  <conditionalFormatting sqref="B52">
    <cfRule type="duplicateValues" dxfId="8" priority="4"/>
  </conditionalFormatting>
  <conditionalFormatting sqref="B56">
    <cfRule type="duplicateValues" dxfId="7" priority="5"/>
  </conditionalFormatting>
  <conditionalFormatting sqref="B58">
    <cfRule type="duplicateValues" dxfId="6" priority="6"/>
  </conditionalFormatting>
  <pageMargins left="0.7" right="0.7" top="0.25" bottom="0.25" header="0.3" footer="0.3"/>
  <pageSetup paperSize="9" scale="8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7"/>
  <sheetViews>
    <sheetView view="pageBreakPreview" zoomScale="60"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F63" sqref="F63"/>
    </sheetView>
  </sheetViews>
  <sheetFormatPr defaultRowHeight="12.75" x14ac:dyDescent="0.2"/>
  <cols>
    <col min="1" max="1" width="6.5703125" style="229" customWidth="1"/>
    <col min="2" max="2" width="24.42578125" style="229" bestFit="1" customWidth="1"/>
    <col min="3" max="3" width="15" style="229" customWidth="1"/>
    <col min="4" max="6" width="12.42578125" style="229" customWidth="1"/>
    <col min="7" max="7" width="13" style="229" customWidth="1"/>
    <col min="8" max="8" width="11.7109375" style="229" customWidth="1"/>
    <col min="9" max="16384" width="9.140625" style="229"/>
  </cols>
  <sheetData>
    <row r="1" spans="1:8" ht="18.75" x14ac:dyDescent="0.2">
      <c r="A1" s="489" t="s">
        <v>491</v>
      </c>
      <c r="B1" s="489"/>
      <c r="C1" s="489"/>
      <c r="D1" s="489"/>
      <c r="E1" s="489"/>
      <c r="F1" s="489"/>
      <c r="G1" s="489"/>
      <c r="H1" s="489"/>
    </row>
    <row r="2" spans="1:8" ht="14.25" x14ac:dyDescent="0.2">
      <c r="A2" s="49"/>
      <c r="B2" s="49"/>
      <c r="C2" s="49"/>
      <c r="D2" s="49"/>
      <c r="E2" s="49"/>
      <c r="F2" s="49"/>
      <c r="G2" s="49"/>
      <c r="H2" s="49"/>
    </row>
    <row r="3" spans="1:8" ht="15.75" x14ac:dyDescent="0.2">
      <c r="A3" s="34"/>
      <c r="B3" s="417" t="s">
        <v>12</v>
      </c>
      <c r="C3" s="417"/>
      <c r="D3" s="417"/>
      <c r="E3" s="224"/>
      <c r="F3" s="224"/>
      <c r="H3" s="228" t="s">
        <v>202</v>
      </c>
    </row>
    <row r="4" spans="1:8" ht="54.95" customHeight="1" x14ac:dyDescent="0.2">
      <c r="A4" s="528" t="s">
        <v>232</v>
      </c>
      <c r="B4" s="528" t="s">
        <v>3</v>
      </c>
      <c r="C4" s="526" t="s">
        <v>203</v>
      </c>
      <c r="D4" s="527"/>
      <c r="E4" s="526" t="s">
        <v>204</v>
      </c>
      <c r="F4" s="527"/>
      <c r="G4" s="480" t="s">
        <v>492</v>
      </c>
      <c r="H4" s="480"/>
    </row>
    <row r="5" spans="1:8" ht="13.5" x14ac:dyDescent="0.2">
      <c r="A5" s="529"/>
      <c r="B5" s="530"/>
      <c r="C5" s="212" t="s">
        <v>30</v>
      </c>
      <c r="D5" s="212" t="s">
        <v>17</v>
      </c>
      <c r="E5" s="212" t="s">
        <v>30</v>
      </c>
      <c r="F5" s="212" t="s">
        <v>17</v>
      </c>
      <c r="G5" s="212" t="s">
        <v>30</v>
      </c>
      <c r="H5" s="212" t="s">
        <v>17</v>
      </c>
    </row>
    <row r="6" spans="1:8" ht="15" customHeight="1" x14ac:dyDescent="0.2">
      <c r="A6" s="131">
        <v>1</v>
      </c>
      <c r="B6" s="108" t="s">
        <v>56</v>
      </c>
      <c r="C6" s="191">
        <v>22459</v>
      </c>
      <c r="D6" s="191">
        <v>48695</v>
      </c>
      <c r="E6" s="191">
        <v>13569</v>
      </c>
      <c r="F6" s="191">
        <v>11024</v>
      </c>
      <c r="G6" s="191">
        <v>1478</v>
      </c>
      <c r="H6" s="191">
        <v>2235</v>
      </c>
    </row>
    <row r="7" spans="1:8" ht="15" customHeight="1" x14ac:dyDescent="0.2">
      <c r="A7" s="131">
        <v>2</v>
      </c>
      <c r="B7" s="108" t="s">
        <v>57</v>
      </c>
      <c r="C7" s="191">
        <v>1776</v>
      </c>
      <c r="D7" s="191">
        <v>4756</v>
      </c>
      <c r="E7" s="191">
        <v>45</v>
      </c>
      <c r="F7" s="191">
        <v>14.5</v>
      </c>
      <c r="G7" s="191">
        <v>260</v>
      </c>
      <c r="H7" s="191">
        <v>790</v>
      </c>
    </row>
    <row r="8" spans="1:8" ht="15" customHeight="1" x14ac:dyDescent="0.2">
      <c r="A8" s="131">
        <v>3</v>
      </c>
      <c r="B8" s="108" t="s">
        <v>58</v>
      </c>
      <c r="C8" s="191">
        <v>76591</v>
      </c>
      <c r="D8" s="191">
        <v>70205</v>
      </c>
      <c r="E8" s="191">
        <v>16782</v>
      </c>
      <c r="F8" s="191">
        <v>9053</v>
      </c>
      <c r="G8" s="191">
        <v>1355</v>
      </c>
      <c r="H8" s="191">
        <v>942</v>
      </c>
    </row>
    <row r="9" spans="1:8" ht="15" customHeight="1" x14ac:dyDescent="0.2">
      <c r="A9" s="131">
        <v>4</v>
      </c>
      <c r="B9" s="108" t="s">
        <v>59</v>
      </c>
      <c r="C9" s="191">
        <v>161748</v>
      </c>
      <c r="D9" s="191">
        <v>98579</v>
      </c>
      <c r="E9" s="191">
        <v>89531</v>
      </c>
      <c r="F9" s="191">
        <v>60385</v>
      </c>
      <c r="G9" s="191">
        <v>40436</v>
      </c>
      <c r="H9" s="191">
        <v>22672</v>
      </c>
    </row>
    <row r="10" spans="1:8" ht="15" customHeight="1" x14ac:dyDescent="0.2">
      <c r="A10" s="131">
        <v>5</v>
      </c>
      <c r="B10" s="108" t="s">
        <v>60</v>
      </c>
      <c r="C10" s="191">
        <v>19789</v>
      </c>
      <c r="D10" s="191">
        <v>49328</v>
      </c>
      <c r="E10" s="191">
        <v>2791</v>
      </c>
      <c r="F10" s="191">
        <v>2489</v>
      </c>
      <c r="G10" s="191">
        <v>235</v>
      </c>
      <c r="H10" s="191">
        <v>329</v>
      </c>
    </row>
    <row r="11" spans="1:8" ht="15" customHeight="1" x14ac:dyDescent="0.2">
      <c r="A11" s="131">
        <v>6</v>
      </c>
      <c r="B11" s="132" t="s">
        <v>244</v>
      </c>
      <c r="C11" s="191">
        <v>484</v>
      </c>
      <c r="D11" s="191">
        <v>643.44000000000005</v>
      </c>
      <c r="E11" s="191">
        <v>367</v>
      </c>
      <c r="F11" s="191">
        <v>573.41999999999996</v>
      </c>
      <c r="G11" s="191">
        <v>44</v>
      </c>
      <c r="H11" s="191">
        <v>17.5</v>
      </c>
    </row>
    <row r="12" spans="1:8" ht="15" customHeight="1" x14ac:dyDescent="0.2">
      <c r="A12" s="131">
        <v>7</v>
      </c>
      <c r="B12" s="108" t="s">
        <v>61</v>
      </c>
      <c r="C12" s="191">
        <v>12784</v>
      </c>
      <c r="D12" s="191">
        <v>20871</v>
      </c>
      <c r="E12" s="191">
        <v>8452</v>
      </c>
      <c r="F12" s="191">
        <v>14572</v>
      </c>
      <c r="G12" s="191">
        <v>543</v>
      </c>
      <c r="H12" s="191">
        <v>2514</v>
      </c>
    </row>
    <row r="13" spans="1:8" ht="15" customHeight="1" x14ac:dyDescent="0.2">
      <c r="A13" s="131">
        <v>8</v>
      </c>
      <c r="B13" s="108" t="s">
        <v>62</v>
      </c>
      <c r="C13" s="191">
        <v>71753</v>
      </c>
      <c r="D13" s="191">
        <v>109805</v>
      </c>
      <c r="E13" s="191">
        <v>45903</v>
      </c>
      <c r="F13" s="191">
        <v>16805</v>
      </c>
      <c r="G13" s="191">
        <v>3978</v>
      </c>
      <c r="H13" s="191">
        <v>5971</v>
      </c>
    </row>
    <row r="14" spans="1:8" ht="15" customHeight="1" x14ac:dyDescent="0.2">
      <c r="A14" s="131">
        <v>9</v>
      </c>
      <c r="B14" s="108" t="s">
        <v>49</v>
      </c>
      <c r="C14" s="191">
        <v>3057</v>
      </c>
      <c r="D14" s="191">
        <v>9277</v>
      </c>
      <c r="E14" s="191">
        <v>1282</v>
      </c>
      <c r="F14" s="191">
        <v>716</v>
      </c>
      <c r="G14" s="191">
        <v>418</v>
      </c>
      <c r="H14" s="191">
        <v>393</v>
      </c>
    </row>
    <row r="15" spans="1:8" ht="15" customHeight="1" x14ac:dyDescent="0.2">
      <c r="A15" s="131">
        <v>10</v>
      </c>
      <c r="B15" s="108" t="s">
        <v>50</v>
      </c>
      <c r="C15" s="191">
        <v>5832</v>
      </c>
      <c r="D15" s="191">
        <v>12017</v>
      </c>
      <c r="E15" s="191">
        <v>3025</v>
      </c>
      <c r="F15" s="191">
        <v>814</v>
      </c>
      <c r="G15" s="191">
        <v>526</v>
      </c>
      <c r="H15" s="191">
        <v>1175</v>
      </c>
    </row>
    <row r="16" spans="1:8" ht="15" customHeight="1" x14ac:dyDescent="0.2">
      <c r="A16" s="131">
        <v>11</v>
      </c>
      <c r="B16" s="108" t="s">
        <v>82</v>
      </c>
      <c r="C16" s="191">
        <v>34629</v>
      </c>
      <c r="D16" s="191">
        <v>38889</v>
      </c>
      <c r="E16" s="191">
        <v>6523</v>
      </c>
      <c r="F16" s="191">
        <v>5825</v>
      </c>
      <c r="G16" s="191">
        <v>14616</v>
      </c>
      <c r="H16" s="191">
        <v>8654</v>
      </c>
    </row>
    <row r="17" spans="1:8" ht="15" customHeight="1" x14ac:dyDescent="0.2">
      <c r="A17" s="131">
        <v>12</v>
      </c>
      <c r="B17" s="108" t="s">
        <v>63</v>
      </c>
      <c r="C17" s="191">
        <v>845</v>
      </c>
      <c r="D17" s="191">
        <v>2017.21</v>
      </c>
      <c r="E17" s="191">
        <v>0</v>
      </c>
      <c r="F17" s="191">
        <v>0</v>
      </c>
      <c r="G17" s="191">
        <v>2</v>
      </c>
      <c r="H17" s="191">
        <v>20</v>
      </c>
    </row>
    <row r="18" spans="1:8" ht="15" customHeight="1" x14ac:dyDescent="0.2">
      <c r="A18" s="131">
        <v>13</v>
      </c>
      <c r="B18" s="108" t="s">
        <v>64</v>
      </c>
      <c r="C18" s="191">
        <v>2318</v>
      </c>
      <c r="D18" s="191">
        <v>10787</v>
      </c>
      <c r="E18" s="191">
        <v>439</v>
      </c>
      <c r="F18" s="191">
        <v>181</v>
      </c>
      <c r="G18" s="191">
        <v>141</v>
      </c>
      <c r="H18" s="191">
        <v>361</v>
      </c>
    </row>
    <row r="19" spans="1:8" ht="15" customHeight="1" x14ac:dyDescent="0.2">
      <c r="A19" s="131">
        <v>14</v>
      </c>
      <c r="B19" s="324" t="s">
        <v>208</v>
      </c>
      <c r="C19" s="191">
        <v>5501</v>
      </c>
      <c r="D19" s="191">
        <v>15105.22</v>
      </c>
      <c r="E19" s="191">
        <v>2390</v>
      </c>
      <c r="F19" s="191">
        <v>1185.47</v>
      </c>
      <c r="G19" s="191">
        <v>210</v>
      </c>
      <c r="H19" s="191">
        <v>1454.43</v>
      </c>
    </row>
    <row r="20" spans="1:8" ht="15" customHeight="1" x14ac:dyDescent="0.2">
      <c r="A20" s="131">
        <v>15</v>
      </c>
      <c r="B20" s="108" t="s">
        <v>209</v>
      </c>
      <c r="C20" s="191">
        <v>2559</v>
      </c>
      <c r="D20" s="191">
        <v>6618</v>
      </c>
      <c r="E20" s="191">
        <v>188</v>
      </c>
      <c r="F20" s="191">
        <v>253.46</v>
      </c>
      <c r="G20" s="191">
        <v>468</v>
      </c>
      <c r="H20" s="191">
        <v>3180</v>
      </c>
    </row>
    <row r="21" spans="1:8" ht="15" customHeight="1" x14ac:dyDescent="0.2">
      <c r="A21" s="131">
        <v>16</v>
      </c>
      <c r="B21" s="108" t="s">
        <v>65</v>
      </c>
      <c r="C21" s="191">
        <v>55889</v>
      </c>
      <c r="D21" s="191">
        <v>110846.97</v>
      </c>
      <c r="E21" s="191">
        <v>38972</v>
      </c>
      <c r="F21" s="191">
        <v>35201</v>
      </c>
      <c r="G21" s="191">
        <v>19032</v>
      </c>
      <c r="H21" s="191">
        <v>37567</v>
      </c>
    </row>
    <row r="22" spans="1:8" ht="15" customHeight="1" x14ac:dyDescent="0.2">
      <c r="A22" s="131">
        <v>17</v>
      </c>
      <c r="B22" s="324" t="s">
        <v>70</v>
      </c>
      <c r="C22" s="191">
        <v>74</v>
      </c>
      <c r="D22" s="191">
        <v>361.92</v>
      </c>
      <c r="E22" s="191">
        <v>37</v>
      </c>
      <c r="F22" s="191">
        <v>180.96</v>
      </c>
      <c r="G22" s="191">
        <v>74</v>
      </c>
      <c r="H22" s="191">
        <v>361.92</v>
      </c>
    </row>
    <row r="23" spans="1:8" ht="15" customHeight="1" x14ac:dyDescent="0.2">
      <c r="A23" s="131">
        <v>18</v>
      </c>
      <c r="B23" s="108" t="s">
        <v>210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</row>
    <row r="24" spans="1:8" ht="15" customHeight="1" x14ac:dyDescent="0.2">
      <c r="A24" s="131">
        <v>19</v>
      </c>
      <c r="B24" s="325" t="s">
        <v>211</v>
      </c>
      <c r="C24" s="191">
        <v>154</v>
      </c>
      <c r="D24" s="191">
        <v>1471.67</v>
      </c>
      <c r="E24" s="191">
        <v>7</v>
      </c>
      <c r="F24" s="191">
        <v>4.0999999999999996</v>
      </c>
      <c r="G24" s="191">
        <v>16</v>
      </c>
      <c r="H24" s="191">
        <v>75.2</v>
      </c>
    </row>
    <row r="25" spans="1:8" ht="15" customHeight="1" x14ac:dyDescent="0.2">
      <c r="A25" s="131">
        <v>20</v>
      </c>
      <c r="B25" s="108" t="s">
        <v>212</v>
      </c>
      <c r="C25" s="191">
        <v>39</v>
      </c>
      <c r="D25" s="191">
        <v>236</v>
      </c>
      <c r="E25" s="191">
        <v>0</v>
      </c>
      <c r="F25" s="191">
        <v>0</v>
      </c>
      <c r="G25" s="191">
        <v>14</v>
      </c>
      <c r="H25" s="191">
        <v>65</v>
      </c>
    </row>
    <row r="26" spans="1:8" ht="15" customHeight="1" x14ac:dyDescent="0.2">
      <c r="A26" s="131">
        <v>21</v>
      </c>
      <c r="B26" s="108" t="s">
        <v>213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</row>
    <row r="27" spans="1:8" ht="15" customHeight="1" x14ac:dyDescent="0.2">
      <c r="A27" s="131">
        <v>22</v>
      </c>
      <c r="B27" s="108" t="s">
        <v>71</v>
      </c>
      <c r="C27" s="191">
        <v>187028</v>
      </c>
      <c r="D27" s="191">
        <v>455125</v>
      </c>
      <c r="E27" s="191">
        <v>84042</v>
      </c>
      <c r="F27" s="191">
        <v>40864</v>
      </c>
      <c r="G27" s="191">
        <v>31318</v>
      </c>
      <c r="H27" s="191">
        <v>73268</v>
      </c>
    </row>
    <row r="28" spans="1:8" ht="15" customHeight="1" x14ac:dyDescent="0.2">
      <c r="A28" s="131">
        <v>23</v>
      </c>
      <c r="B28" s="108" t="s">
        <v>66</v>
      </c>
      <c r="C28" s="191">
        <v>7934</v>
      </c>
      <c r="D28" s="191">
        <v>48659</v>
      </c>
      <c r="E28" s="191">
        <v>3200</v>
      </c>
      <c r="F28" s="191">
        <v>28159</v>
      </c>
      <c r="G28" s="191">
        <v>1181</v>
      </c>
      <c r="H28" s="191">
        <v>8973</v>
      </c>
    </row>
    <row r="29" spans="1:8" ht="15" customHeight="1" x14ac:dyDescent="0.2">
      <c r="A29" s="131">
        <v>24</v>
      </c>
      <c r="B29" s="108" t="s">
        <v>214</v>
      </c>
      <c r="C29" s="191">
        <v>21912</v>
      </c>
      <c r="D29" s="191">
        <v>37542</v>
      </c>
      <c r="E29" s="191">
        <v>9728</v>
      </c>
      <c r="F29" s="191">
        <v>8711</v>
      </c>
      <c r="G29" s="191">
        <v>419</v>
      </c>
      <c r="H29" s="191">
        <v>1402</v>
      </c>
    </row>
    <row r="30" spans="1:8" ht="15" customHeight="1" x14ac:dyDescent="0.2">
      <c r="A30" s="131">
        <v>25</v>
      </c>
      <c r="B30" s="108" t="s">
        <v>67</v>
      </c>
      <c r="C30" s="191">
        <v>35635</v>
      </c>
      <c r="D30" s="191">
        <v>68156</v>
      </c>
      <c r="E30" s="191">
        <v>8602</v>
      </c>
      <c r="F30" s="191">
        <v>2002.45</v>
      </c>
      <c r="G30" s="191">
        <v>618</v>
      </c>
      <c r="H30" s="191">
        <v>145.44</v>
      </c>
    </row>
    <row r="31" spans="1:8" ht="15" customHeight="1" x14ac:dyDescent="0.2">
      <c r="A31" s="131">
        <v>26</v>
      </c>
      <c r="B31" s="132" t="s">
        <v>68</v>
      </c>
      <c r="C31" s="191">
        <v>154</v>
      </c>
      <c r="D31" s="191">
        <v>2520</v>
      </c>
      <c r="E31" s="191">
        <v>3</v>
      </c>
      <c r="F31" s="191">
        <v>3</v>
      </c>
      <c r="G31" s="191">
        <v>3</v>
      </c>
      <c r="H31" s="191">
        <v>3</v>
      </c>
    </row>
    <row r="32" spans="1:8" ht="15" customHeight="1" x14ac:dyDescent="0.2">
      <c r="A32" s="131">
        <v>27</v>
      </c>
      <c r="B32" s="108" t="s">
        <v>51</v>
      </c>
      <c r="C32" s="191">
        <v>3897</v>
      </c>
      <c r="D32" s="191">
        <v>11410</v>
      </c>
      <c r="E32" s="191">
        <v>1499</v>
      </c>
      <c r="F32" s="191">
        <v>52.69</v>
      </c>
      <c r="G32" s="191">
        <v>797</v>
      </c>
      <c r="H32" s="191">
        <v>2249</v>
      </c>
    </row>
    <row r="33" spans="1:8" s="342" customFormat="1" ht="15" customHeight="1" x14ac:dyDescent="0.2">
      <c r="A33" s="338" t="s">
        <v>488</v>
      </c>
      <c r="B33" s="115" t="s">
        <v>407</v>
      </c>
      <c r="C33" s="193">
        <f>SUM(C6:C32)</f>
        <v>734841</v>
      </c>
      <c r="D33" s="193">
        <f t="shared" ref="D33:H33" si="0">SUM(D6:D32)</f>
        <v>1233921.4300000002</v>
      </c>
      <c r="E33" s="193">
        <f t="shared" si="0"/>
        <v>337377</v>
      </c>
      <c r="F33" s="193">
        <f t="shared" si="0"/>
        <v>239069.05000000002</v>
      </c>
      <c r="G33" s="193">
        <f t="shared" si="0"/>
        <v>118182</v>
      </c>
      <c r="H33" s="193">
        <f t="shared" si="0"/>
        <v>174817.49</v>
      </c>
    </row>
    <row r="34" spans="1:8" ht="15" customHeight="1" x14ac:dyDescent="0.2">
      <c r="A34" s="131">
        <v>28</v>
      </c>
      <c r="B34" s="108" t="s">
        <v>48</v>
      </c>
      <c r="C34" s="191">
        <v>125135</v>
      </c>
      <c r="D34" s="191">
        <v>32189.17</v>
      </c>
      <c r="E34" s="191">
        <v>0</v>
      </c>
      <c r="F34" s="191">
        <v>0</v>
      </c>
      <c r="G34" s="191">
        <v>28733</v>
      </c>
      <c r="H34" s="191">
        <v>9722.85</v>
      </c>
    </row>
    <row r="35" spans="1:8" ht="15" customHeight="1" x14ac:dyDescent="0.2">
      <c r="A35" s="131">
        <v>29</v>
      </c>
      <c r="B35" s="108" t="s">
        <v>216</v>
      </c>
      <c r="C35" s="191">
        <v>189964</v>
      </c>
      <c r="D35" s="191">
        <v>41133</v>
      </c>
      <c r="E35" s="191">
        <v>0</v>
      </c>
      <c r="F35" s="191">
        <v>0</v>
      </c>
      <c r="G35" s="191">
        <v>189964</v>
      </c>
      <c r="H35" s="191">
        <v>41133</v>
      </c>
    </row>
    <row r="36" spans="1:8" ht="15" customHeight="1" x14ac:dyDescent="0.2">
      <c r="A36" s="131">
        <v>30</v>
      </c>
      <c r="B36" s="108" t="s">
        <v>217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  <c r="H36" s="191">
        <v>0</v>
      </c>
    </row>
    <row r="37" spans="1:8" ht="15" customHeight="1" x14ac:dyDescent="0.2">
      <c r="A37" s="131">
        <v>31</v>
      </c>
      <c r="B37" s="108" t="s">
        <v>79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  <c r="H37" s="191">
        <v>0</v>
      </c>
    </row>
    <row r="38" spans="1:8" ht="15" customHeight="1" x14ac:dyDescent="0.2">
      <c r="A38" s="131">
        <v>32</v>
      </c>
      <c r="B38" s="108" t="s">
        <v>52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  <c r="H38" s="191">
        <v>0</v>
      </c>
    </row>
    <row r="39" spans="1:8" ht="15" customHeight="1" x14ac:dyDescent="0.2">
      <c r="A39" s="131">
        <v>33</v>
      </c>
      <c r="B39" s="108" t="s">
        <v>218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  <c r="H39" s="191">
        <v>0</v>
      </c>
    </row>
    <row r="40" spans="1:8" ht="15" customHeight="1" x14ac:dyDescent="0.2">
      <c r="A40" s="131">
        <v>34</v>
      </c>
      <c r="B40" s="108" t="s">
        <v>219</v>
      </c>
      <c r="C40" s="191">
        <v>7</v>
      </c>
      <c r="D40" s="191">
        <v>4.62</v>
      </c>
      <c r="E40" s="191">
        <v>2</v>
      </c>
      <c r="F40" s="191">
        <v>0.95</v>
      </c>
      <c r="G40" s="191">
        <v>0</v>
      </c>
      <c r="H40" s="191">
        <v>0</v>
      </c>
    </row>
    <row r="41" spans="1:8" ht="15" customHeight="1" x14ac:dyDescent="0.2">
      <c r="A41" s="131">
        <v>35</v>
      </c>
      <c r="B41" s="108" t="s">
        <v>220</v>
      </c>
      <c r="C41" s="191">
        <v>976</v>
      </c>
      <c r="D41" s="191">
        <v>1483.15</v>
      </c>
      <c r="E41" s="191">
        <v>0</v>
      </c>
      <c r="F41" s="191">
        <v>0</v>
      </c>
      <c r="G41" s="191">
        <v>313</v>
      </c>
      <c r="H41" s="191">
        <v>403.68</v>
      </c>
    </row>
    <row r="42" spans="1:8" ht="15" customHeight="1" x14ac:dyDescent="0.2">
      <c r="A42" s="131">
        <v>36</v>
      </c>
      <c r="B42" s="108" t="s">
        <v>72</v>
      </c>
      <c r="C42" s="191">
        <v>147732</v>
      </c>
      <c r="D42" s="191">
        <v>47726</v>
      </c>
      <c r="E42" s="191">
        <v>110563</v>
      </c>
      <c r="F42" s="191">
        <v>15814</v>
      </c>
      <c r="G42" s="191">
        <v>47431</v>
      </c>
      <c r="H42" s="191">
        <v>20012</v>
      </c>
    </row>
    <row r="43" spans="1:8" ht="15" customHeight="1" x14ac:dyDescent="0.2">
      <c r="A43" s="131">
        <v>37</v>
      </c>
      <c r="B43" s="108" t="s">
        <v>73</v>
      </c>
      <c r="C43" s="191">
        <v>41348</v>
      </c>
      <c r="D43" s="191">
        <v>184653</v>
      </c>
      <c r="E43" s="191">
        <v>10823</v>
      </c>
      <c r="F43" s="191">
        <v>181354</v>
      </c>
      <c r="G43" s="191">
        <v>8770</v>
      </c>
      <c r="H43" s="191">
        <v>32480.89</v>
      </c>
    </row>
    <row r="44" spans="1:8" ht="15" customHeight="1" x14ac:dyDescent="0.2">
      <c r="A44" s="131">
        <v>38</v>
      </c>
      <c r="B44" s="108" t="s">
        <v>221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  <c r="H44" s="191">
        <v>0</v>
      </c>
    </row>
    <row r="45" spans="1:8" ht="15" customHeight="1" x14ac:dyDescent="0.2">
      <c r="A45" s="131">
        <v>39</v>
      </c>
      <c r="B45" s="108" t="s">
        <v>222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  <c r="H45" s="191">
        <v>0</v>
      </c>
    </row>
    <row r="46" spans="1:8" ht="15" customHeight="1" x14ac:dyDescent="0.2">
      <c r="A46" s="131">
        <v>40</v>
      </c>
      <c r="B46" s="108" t="s">
        <v>223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</row>
    <row r="47" spans="1:8" ht="15" customHeight="1" x14ac:dyDescent="0.2">
      <c r="A47" s="131">
        <v>41</v>
      </c>
      <c r="B47" s="108" t="s">
        <v>224</v>
      </c>
      <c r="C47" s="191">
        <v>52</v>
      </c>
      <c r="D47" s="191">
        <v>763.81</v>
      </c>
      <c r="E47" s="191">
        <v>9</v>
      </c>
      <c r="F47" s="191">
        <v>2.9</v>
      </c>
      <c r="G47" s="191">
        <v>27</v>
      </c>
      <c r="H47" s="191">
        <v>219.61</v>
      </c>
    </row>
    <row r="48" spans="1:8" ht="15" customHeight="1" x14ac:dyDescent="0.2">
      <c r="A48" s="131">
        <v>42</v>
      </c>
      <c r="B48" s="108" t="s">
        <v>225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</row>
    <row r="49" spans="1:8" ht="15" customHeight="1" x14ac:dyDescent="0.2">
      <c r="A49" s="131">
        <v>43</v>
      </c>
      <c r="B49" s="108" t="s">
        <v>74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</row>
    <row r="50" spans="1:8" ht="15" customHeight="1" x14ac:dyDescent="0.2">
      <c r="A50" s="131">
        <v>44</v>
      </c>
      <c r="B50" s="108" t="s">
        <v>226</v>
      </c>
      <c r="C50" s="191">
        <v>22</v>
      </c>
      <c r="D50" s="191">
        <v>474</v>
      </c>
      <c r="E50" s="191">
        <v>7</v>
      </c>
      <c r="F50" s="191">
        <v>4</v>
      </c>
      <c r="G50" s="191">
        <v>4</v>
      </c>
      <c r="H50" s="191">
        <v>10</v>
      </c>
    </row>
    <row r="51" spans="1:8" ht="15" customHeight="1" x14ac:dyDescent="0.2">
      <c r="A51" s="131">
        <v>45</v>
      </c>
      <c r="B51" s="108" t="s">
        <v>227</v>
      </c>
      <c r="C51" s="191">
        <v>153870</v>
      </c>
      <c r="D51" s="191">
        <v>20189.96</v>
      </c>
      <c r="E51" s="191">
        <v>153870</v>
      </c>
      <c r="F51" s="191">
        <v>20189.96</v>
      </c>
      <c r="G51" s="191">
        <v>79801</v>
      </c>
      <c r="H51" s="191">
        <v>4219.87</v>
      </c>
    </row>
    <row r="52" spans="1:8" ht="15" customHeight="1" x14ac:dyDescent="0.2">
      <c r="A52" s="131">
        <v>46</v>
      </c>
      <c r="B52" s="108" t="s">
        <v>228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</row>
    <row r="53" spans="1:8" ht="15" customHeight="1" x14ac:dyDescent="0.2">
      <c r="A53" s="131">
        <v>47</v>
      </c>
      <c r="B53" s="108" t="s">
        <v>78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</row>
    <row r="54" spans="1:8" ht="15" customHeight="1" x14ac:dyDescent="0.2">
      <c r="A54" s="131">
        <v>48</v>
      </c>
      <c r="B54" s="108" t="s">
        <v>229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  <c r="H54" s="191">
        <v>0</v>
      </c>
    </row>
    <row r="55" spans="1:8" ht="15" customHeight="1" x14ac:dyDescent="0.2">
      <c r="A55" s="131">
        <v>49</v>
      </c>
      <c r="B55" s="108" t="s">
        <v>77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  <c r="H55" s="191">
        <v>0</v>
      </c>
    </row>
    <row r="56" spans="1:8" s="342" customFormat="1" ht="15" customHeight="1" x14ac:dyDescent="0.2">
      <c r="A56" s="115" t="s">
        <v>488</v>
      </c>
      <c r="B56" s="115" t="s">
        <v>408</v>
      </c>
      <c r="C56" s="193">
        <f>SUM(C34:C55)</f>
        <v>659106</v>
      </c>
      <c r="D56" s="193">
        <f t="shared" ref="D56:H56" si="1">SUM(D34:D55)</f>
        <v>328616.71000000002</v>
      </c>
      <c r="E56" s="193">
        <f t="shared" si="1"/>
        <v>275274</v>
      </c>
      <c r="F56" s="193">
        <f t="shared" si="1"/>
        <v>217365.81</v>
      </c>
      <c r="G56" s="193">
        <f t="shared" si="1"/>
        <v>355043</v>
      </c>
      <c r="H56" s="193">
        <f t="shared" si="1"/>
        <v>108201.9</v>
      </c>
    </row>
    <row r="57" spans="1:8" ht="15" customHeight="1" x14ac:dyDescent="0.2">
      <c r="A57" s="131">
        <v>50</v>
      </c>
      <c r="B57" s="108" t="s">
        <v>47</v>
      </c>
      <c r="C57" s="191">
        <v>142680</v>
      </c>
      <c r="D57" s="191">
        <v>100868.53</v>
      </c>
      <c r="E57" s="191">
        <v>142680</v>
      </c>
      <c r="F57" s="191">
        <v>100868.53</v>
      </c>
      <c r="G57" s="191">
        <v>11660</v>
      </c>
      <c r="H57" s="191">
        <v>16359.56</v>
      </c>
    </row>
    <row r="58" spans="1:8" ht="15" customHeight="1" x14ac:dyDescent="0.2">
      <c r="A58" s="131">
        <v>51</v>
      </c>
      <c r="B58" s="108" t="s">
        <v>230</v>
      </c>
      <c r="C58" s="191">
        <v>27843</v>
      </c>
      <c r="D58" s="191">
        <v>17662</v>
      </c>
      <c r="E58" s="191">
        <v>4858</v>
      </c>
      <c r="F58" s="191">
        <v>3951</v>
      </c>
      <c r="G58" s="191">
        <v>6182</v>
      </c>
      <c r="H58" s="191">
        <v>6696</v>
      </c>
    </row>
    <row r="59" spans="1:8" ht="15" customHeight="1" x14ac:dyDescent="0.2">
      <c r="A59" s="131">
        <v>52</v>
      </c>
      <c r="B59" s="108" t="s">
        <v>53</v>
      </c>
      <c r="C59" s="191">
        <v>49061</v>
      </c>
      <c r="D59" s="191">
        <v>93296.79</v>
      </c>
      <c r="E59" s="191">
        <v>48915</v>
      </c>
      <c r="F59" s="191">
        <v>93218.75</v>
      </c>
      <c r="G59" s="191">
        <v>585</v>
      </c>
      <c r="H59" s="191">
        <v>651.34</v>
      </c>
    </row>
    <row r="60" spans="1:8" s="342" customFormat="1" ht="15" customHeight="1" x14ac:dyDescent="0.2">
      <c r="A60" s="344" t="s">
        <v>488</v>
      </c>
      <c r="B60" s="193" t="s">
        <v>415</v>
      </c>
      <c r="C60" s="193">
        <f>SUM(C57:C59)</f>
        <v>219584</v>
      </c>
      <c r="D60" s="193">
        <f t="shared" ref="D60:H60" si="2">SUM(D57:D59)</f>
        <v>211827.32</v>
      </c>
      <c r="E60" s="193">
        <f t="shared" si="2"/>
        <v>196453</v>
      </c>
      <c r="F60" s="193">
        <f t="shared" si="2"/>
        <v>198038.28</v>
      </c>
      <c r="G60" s="193">
        <f t="shared" si="2"/>
        <v>18427</v>
      </c>
      <c r="H60" s="193">
        <f t="shared" si="2"/>
        <v>23706.899999999998</v>
      </c>
    </row>
    <row r="61" spans="1:8" ht="15" customHeight="1" x14ac:dyDescent="0.2">
      <c r="A61" s="343">
        <v>53</v>
      </c>
      <c r="B61" s="191" t="s">
        <v>409</v>
      </c>
      <c r="C61" s="191">
        <v>115938</v>
      </c>
      <c r="D61" s="191">
        <v>105987</v>
      </c>
      <c r="E61" s="191">
        <v>0</v>
      </c>
      <c r="F61" s="191">
        <v>0</v>
      </c>
      <c r="G61" s="191">
        <v>0</v>
      </c>
      <c r="H61" s="191">
        <v>0</v>
      </c>
    </row>
    <row r="62" spans="1:8" s="342" customFormat="1" ht="15" customHeight="1" x14ac:dyDescent="0.2">
      <c r="A62" s="344" t="s">
        <v>488</v>
      </c>
      <c r="B62" s="193" t="s">
        <v>410</v>
      </c>
      <c r="C62" s="193">
        <f>C61</f>
        <v>115938</v>
      </c>
      <c r="D62" s="193">
        <f t="shared" ref="D62:H62" si="3">D61</f>
        <v>105987</v>
      </c>
      <c r="E62" s="193">
        <f t="shared" si="3"/>
        <v>0</v>
      </c>
      <c r="F62" s="193">
        <f t="shared" si="3"/>
        <v>0</v>
      </c>
      <c r="G62" s="193">
        <f t="shared" si="3"/>
        <v>0</v>
      </c>
      <c r="H62" s="193">
        <f t="shared" si="3"/>
        <v>0</v>
      </c>
    </row>
    <row r="63" spans="1:8" s="342" customFormat="1" ht="15" customHeight="1" x14ac:dyDescent="0.2">
      <c r="A63" s="344" t="s">
        <v>488</v>
      </c>
      <c r="B63" s="193" t="s">
        <v>411</v>
      </c>
      <c r="C63" s="193">
        <f>C62+C60+C56+C33</f>
        <v>1729469</v>
      </c>
      <c r="D63" s="193">
        <f t="shared" ref="D63:H63" si="4">D62+D60+D56+D33</f>
        <v>1880352.4600000002</v>
      </c>
      <c r="E63" s="193">
        <f t="shared" si="4"/>
        <v>809104</v>
      </c>
      <c r="F63" s="193">
        <f t="shared" si="4"/>
        <v>654473.14</v>
      </c>
      <c r="G63" s="193">
        <f t="shared" si="4"/>
        <v>491652</v>
      </c>
      <c r="H63" s="193">
        <f t="shared" si="4"/>
        <v>306726.28999999998</v>
      </c>
    </row>
    <row r="67" spans="3:8" x14ac:dyDescent="0.2">
      <c r="C67" s="6">
        <v>1710212</v>
      </c>
      <c r="D67" s="6">
        <v>1681205.146338708</v>
      </c>
      <c r="E67" s="6">
        <v>382106</v>
      </c>
      <c r="F67" s="6">
        <v>380942.41</v>
      </c>
      <c r="G67" s="6">
        <v>336981</v>
      </c>
      <c r="H67" s="6">
        <v>183580.89768340002</v>
      </c>
    </row>
  </sheetData>
  <mergeCells count="7">
    <mergeCell ref="A1:H1"/>
    <mergeCell ref="B3:D3"/>
    <mergeCell ref="A4:A5"/>
    <mergeCell ref="B4:B5"/>
    <mergeCell ref="C4:D4"/>
    <mergeCell ref="G4:H4"/>
    <mergeCell ref="E4:F4"/>
  </mergeCells>
  <conditionalFormatting sqref="B6">
    <cfRule type="duplicateValues" dxfId="5" priority="1"/>
  </conditionalFormatting>
  <conditionalFormatting sqref="B22">
    <cfRule type="duplicateValues" dxfId="4" priority="2"/>
  </conditionalFormatting>
  <conditionalFormatting sqref="B33:B34 B26:B30">
    <cfRule type="duplicateValues" dxfId="3" priority="3"/>
  </conditionalFormatting>
  <conditionalFormatting sqref="B52">
    <cfRule type="duplicateValues" dxfId="2" priority="4"/>
  </conditionalFormatting>
  <conditionalFormatting sqref="B56">
    <cfRule type="duplicateValues" dxfId="1" priority="5"/>
  </conditionalFormatting>
  <conditionalFormatting sqref="B58">
    <cfRule type="duplicateValues" dxfId="0" priority="6"/>
  </conditionalFormatting>
  <pageMargins left="0.7" right="0.7" top="0.75" bottom="0.75" header="0.3" footer="0.3"/>
  <pageSetup paperSize="9" scale="72" orientation="portrait" r:id="rId1"/>
  <rowBreaks count="1" manualBreakCount="1">
    <brk id="63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J5" sqref="J5"/>
    </sheetView>
  </sheetViews>
  <sheetFormatPr defaultRowHeight="12.75" x14ac:dyDescent="0.2"/>
  <cols>
    <col min="1" max="1" width="9.140625" style="236"/>
    <col min="2" max="2" width="16.85546875" style="236" customWidth="1"/>
    <col min="3" max="3" width="29.5703125" style="236" customWidth="1"/>
    <col min="4" max="4" width="12.28515625" style="236" customWidth="1"/>
    <col min="5" max="5" width="17.140625" style="236" customWidth="1"/>
    <col min="6" max="6" width="15.5703125" style="236" customWidth="1"/>
    <col min="7" max="16384" width="9.140625" style="236"/>
  </cols>
  <sheetData>
    <row r="1" spans="1:6" ht="31.5" customHeight="1" x14ac:dyDescent="0.2">
      <c r="A1" s="531" t="s">
        <v>404</v>
      </c>
      <c r="B1" s="531"/>
      <c r="C1" s="531"/>
      <c r="D1" s="531"/>
      <c r="E1" s="531"/>
      <c r="F1" s="531"/>
    </row>
    <row r="2" spans="1:6" ht="2.25" customHeight="1" x14ac:dyDescent="0.2">
      <c r="A2" s="237"/>
      <c r="B2" s="238"/>
      <c r="C2" s="238"/>
      <c r="D2" s="238"/>
      <c r="E2" s="238"/>
      <c r="F2" s="239"/>
    </row>
    <row r="3" spans="1:6" ht="14.25" x14ac:dyDescent="0.2">
      <c r="A3" s="532" t="s">
        <v>283</v>
      </c>
      <c r="B3" s="533"/>
      <c r="C3" s="533"/>
      <c r="D3" s="533"/>
      <c r="E3" s="533"/>
      <c r="F3" s="534"/>
    </row>
    <row r="4" spans="1:6" x14ac:dyDescent="0.2">
      <c r="A4" s="237"/>
      <c r="B4" s="238"/>
      <c r="C4" s="238"/>
      <c r="D4" s="238"/>
      <c r="E4" s="535" t="s">
        <v>284</v>
      </c>
      <c r="F4" s="536"/>
    </row>
    <row r="5" spans="1:6" x14ac:dyDescent="0.2">
      <c r="A5" s="240" t="s">
        <v>285</v>
      </c>
      <c r="B5" s="241"/>
      <c r="C5" s="242"/>
      <c r="D5" s="238"/>
      <c r="E5" s="238"/>
      <c r="F5" s="239"/>
    </row>
    <row r="6" spans="1:6" x14ac:dyDescent="0.2">
      <c r="A6" s="237"/>
      <c r="B6" s="238"/>
      <c r="C6" s="238"/>
      <c r="D6" s="238"/>
      <c r="E6" s="238"/>
      <c r="F6" s="239"/>
    </row>
    <row r="7" spans="1:6" x14ac:dyDescent="0.2">
      <c r="A7" s="240" t="s">
        <v>286</v>
      </c>
      <c r="B7" s="241"/>
      <c r="C7" s="242"/>
      <c r="D7" s="240" t="s">
        <v>287</v>
      </c>
      <c r="E7" s="241"/>
      <c r="F7" s="242"/>
    </row>
    <row r="8" spans="1:6" x14ac:dyDescent="0.2">
      <c r="A8" s="243"/>
      <c r="B8" s="244"/>
      <c r="C8" s="244"/>
      <c r="D8" s="244"/>
      <c r="E8" s="244"/>
      <c r="F8" s="245"/>
    </row>
    <row r="9" spans="1:6" ht="32.25" customHeight="1" x14ac:dyDescent="0.2">
      <c r="A9" s="537" t="s">
        <v>105</v>
      </c>
      <c r="B9" s="537" t="s">
        <v>288</v>
      </c>
      <c r="C9" s="538" t="s">
        <v>289</v>
      </c>
      <c r="D9" s="538" t="s">
        <v>290</v>
      </c>
      <c r="E9" s="539" t="s">
        <v>291</v>
      </c>
      <c r="F9" s="540"/>
    </row>
    <row r="10" spans="1:6" ht="35.1" customHeight="1" x14ac:dyDescent="0.2">
      <c r="A10" s="537"/>
      <c r="B10" s="537"/>
      <c r="C10" s="538"/>
      <c r="D10" s="538"/>
      <c r="E10" s="541" t="s">
        <v>292</v>
      </c>
      <c r="F10" s="541" t="s">
        <v>293</v>
      </c>
    </row>
    <row r="11" spans="1:6" ht="35.1" customHeight="1" x14ac:dyDescent="0.2">
      <c r="A11" s="537"/>
      <c r="B11" s="537"/>
      <c r="C11" s="538"/>
      <c r="D11" s="538"/>
      <c r="E11" s="542"/>
      <c r="F11" s="542"/>
    </row>
    <row r="12" spans="1:6" x14ac:dyDescent="0.2">
      <c r="A12" s="246">
        <v>1</v>
      </c>
      <c r="B12" s="247" t="s">
        <v>294</v>
      </c>
      <c r="C12" s="247" t="s">
        <v>295</v>
      </c>
      <c r="D12" s="248" t="s">
        <v>296</v>
      </c>
      <c r="E12" s="246">
        <v>0</v>
      </c>
      <c r="F12" s="246">
        <v>0</v>
      </c>
    </row>
    <row r="13" spans="1:6" x14ac:dyDescent="0.2">
      <c r="A13" s="246"/>
      <c r="B13" s="247"/>
      <c r="C13" s="247" t="s">
        <v>297</v>
      </c>
      <c r="D13" s="248" t="s">
        <v>298</v>
      </c>
      <c r="E13" s="246">
        <v>0</v>
      </c>
      <c r="F13" s="246">
        <v>0</v>
      </c>
    </row>
    <row r="14" spans="1:6" x14ac:dyDescent="0.2">
      <c r="A14" s="246"/>
      <c r="B14" s="247"/>
      <c r="C14" s="247" t="s">
        <v>299</v>
      </c>
      <c r="D14" s="248" t="s">
        <v>300</v>
      </c>
      <c r="E14" s="246">
        <v>0</v>
      </c>
      <c r="F14" s="246">
        <v>0</v>
      </c>
    </row>
    <row r="15" spans="1:6" ht="25.5" x14ac:dyDescent="0.2">
      <c r="A15" s="246"/>
      <c r="B15" s="247"/>
      <c r="C15" s="247" t="s">
        <v>301</v>
      </c>
      <c r="D15" s="248" t="s">
        <v>302</v>
      </c>
      <c r="E15" s="246">
        <v>0</v>
      </c>
      <c r="F15" s="246">
        <v>0</v>
      </c>
    </row>
    <row r="16" spans="1:6" x14ac:dyDescent="0.2">
      <c r="A16" s="246"/>
      <c r="B16" s="247"/>
      <c r="C16" s="247" t="s">
        <v>303</v>
      </c>
      <c r="D16" s="248" t="s">
        <v>304</v>
      </c>
      <c r="E16" s="246">
        <v>0</v>
      </c>
      <c r="F16" s="246">
        <v>0</v>
      </c>
    </row>
    <row r="17" spans="1:6" x14ac:dyDescent="0.2">
      <c r="A17" s="246"/>
      <c r="B17" s="247"/>
      <c r="C17" s="247" t="s">
        <v>305</v>
      </c>
      <c r="D17" s="248" t="s">
        <v>306</v>
      </c>
      <c r="E17" s="246">
        <v>0</v>
      </c>
      <c r="F17" s="246">
        <v>0</v>
      </c>
    </row>
    <row r="18" spans="1:6" x14ac:dyDescent="0.2">
      <c r="A18" s="246"/>
      <c r="B18" s="247"/>
      <c r="C18" s="247"/>
      <c r="D18" s="248"/>
      <c r="E18" s="246"/>
      <c r="F18" s="246"/>
    </row>
    <row r="19" spans="1:6" x14ac:dyDescent="0.2">
      <c r="A19" s="246">
        <v>2</v>
      </c>
      <c r="B19" s="247" t="s">
        <v>307</v>
      </c>
      <c r="C19" s="249" t="s">
        <v>308</v>
      </c>
      <c r="D19" s="248" t="s">
        <v>309</v>
      </c>
      <c r="E19" s="246">
        <v>0</v>
      </c>
      <c r="F19" s="246">
        <v>0</v>
      </c>
    </row>
    <row r="20" spans="1:6" x14ac:dyDescent="0.2">
      <c r="A20" s="246"/>
      <c r="B20" s="247"/>
      <c r="C20" s="247" t="s">
        <v>310</v>
      </c>
      <c r="D20" s="248" t="s">
        <v>311</v>
      </c>
      <c r="E20" s="246">
        <v>0</v>
      </c>
      <c r="F20" s="246">
        <v>0</v>
      </c>
    </row>
    <row r="21" spans="1:6" x14ac:dyDescent="0.2">
      <c r="A21" s="246"/>
      <c r="B21" s="247"/>
      <c r="C21" s="247"/>
      <c r="D21" s="248"/>
      <c r="E21" s="246"/>
      <c r="F21" s="246"/>
    </row>
    <row r="22" spans="1:6" x14ac:dyDescent="0.2">
      <c r="A22" s="246">
        <v>3</v>
      </c>
      <c r="B22" s="247" t="s">
        <v>312</v>
      </c>
      <c r="C22" s="247" t="s">
        <v>313</v>
      </c>
      <c r="D22" s="248" t="s">
        <v>314</v>
      </c>
      <c r="E22" s="246">
        <v>0</v>
      </c>
      <c r="F22" s="246">
        <v>0</v>
      </c>
    </row>
    <row r="23" spans="1:6" x14ac:dyDescent="0.2">
      <c r="A23" s="246"/>
      <c r="B23" s="247"/>
      <c r="C23" s="247" t="s">
        <v>315</v>
      </c>
      <c r="D23" s="248" t="s">
        <v>316</v>
      </c>
      <c r="E23" s="246">
        <v>0</v>
      </c>
      <c r="F23" s="246">
        <v>0</v>
      </c>
    </row>
    <row r="24" spans="1:6" x14ac:dyDescent="0.2">
      <c r="A24" s="246"/>
      <c r="B24" s="247"/>
      <c r="C24" s="247" t="s">
        <v>317</v>
      </c>
      <c r="D24" s="248" t="s">
        <v>318</v>
      </c>
      <c r="E24" s="246">
        <v>0</v>
      </c>
      <c r="F24" s="246">
        <v>0</v>
      </c>
    </row>
    <row r="25" spans="1:6" x14ac:dyDescent="0.2">
      <c r="A25" s="246"/>
      <c r="B25" s="247"/>
      <c r="C25" s="247" t="s">
        <v>319</v>
      </c>
      <c r="D25" s="248" t="s">
        <v>320</v>
      </c>
      <c r="E25" s="246">
        <v>0</v>
      </c>
      <c r="F25" s="246">
        <v>0</v>
      </c>
    </row>
    <row r="26" spans="1:6" x14ac:dyDescent="0.2">
      <c r="A26" s="246"/>
      <c r="B26" s="247"/>
      <c r="C26" s="247" t="s">
        <v>321</v>
      </c>
      <c r="D26" s="248" t="s">
        <v>322</v>
      </c>
      <c r="E26" s="246">
        <v>0</v>
      </c>
      <c r="F26" s="246">
        <v>0</v>
      </c>
    </row>
    <row r="27" spans="1:6" x14ac:dyDescent="0.2">
      <c r="A27" s="246"/>
      <c r="B27" s="247"/>
      <c r="C27" s="247" t="s">
        <v>323</v>
      </c>
      <c r="D27" s="248" t="s">
        <v>324</v>
      </c>
      <c r="E27" s="246">
        <v>0</v>
      </c>
      <c r="F27" s="246">
        <v>0</v>
      </c>
    </row>
    <row r="28" spans="1:6" x14ac:dyDescent="0.2">
      <c r="A28" s="246"/>
      <c r="B28" s="247"/>
      <c r="C28" s="247" t="s">
        <v>325</v>
      </c>
      <c r="D28" s="248" t="s">
        <v>326</v>
      </c>
      <c r="E28" s="246">
        <v>0</v>
      </c>
      <c r="F28" s="246">
        <v>0</v>
      </c>
    </row>
    <row r="29" spans="1:6" x14ac:dyDescent="0.2">
      <c r="A29" s="246"/>
      <c r="B29" s="247"/>
      <c r="C29" s="247" t="s">
        <v>327</v>
      </c>
      <c r="D29" s="248" t="s">
        <v>328</v>
      </c>
      <c r="E29" s="246">
        <v>0</v>
      </c>
      <c r="F29" s="246">
        <v>0</v>
      </c>
    </row>
    <row r="30" spans="1:6" x14ac:dyDescent="0.2">
      <c r="A30" s="246"/>
      <c r="B30" s="247"/>
      <c r="C30" s="247" t="s">
        <v>329</v>
      </c>
      <c r="D30" s="248" t="s">
        <v>330</v>
      </c>
      <c r="E30" s="246">
        <v>0</v>
      </c>
      <c r="F30" s="246">
        <v>0</v>
      </c>
    </row>
    <row r="31" spans="1:6" x14ac:dyDescent="0.2">
      <c r="A31" s="246"/>
      <c r="B31" s="247"/>
      <c r="C31" s="247" t="s">
        <v>331</v>
      </c>
      <c r="D31" s="248" t="s">
        <v>332</v>
      </c>
      <c r="E31" s="246">
        <v>0</v>
      </c>
      <c r="F31" s="246">
        <v>0</v>
      </c>
    </row>
    <row r="32" spans="1:6" x14ac:dyDescent="0.2">
      <c r="A32" s="246"/>
      <c r="B32" s="247"/>
      <c r="C32" s="247"/>
      <c r="D32" s="248"/>
      <c r="E32" s="247"/>
      <c r="F32" s="247"/>
    </row>
    <row r="33" spans="1:6" x14ac:dyDescent="0.2">
      <c r="A33" s="246">
        <v>4</v>
      </c>
      <c r="B33" s="247" t="s">
        <v>333</v>
      </c>
      <c r="C33" s="247" t="s">
        <v>334</v>
      </c>
      <c r="D33" s="248" t="s">
        <v>335</v>
      </c>
      <c r="E33" s="246">
        <v>0</v>
      </c>
      <c r="F33" s="246">
        <v>0</v>
      </c>
    </row>
    <row r="34" spans="1:6" x14ac:dyDescent="0.2">
      <c r="A34" s="246"/>
      <c r="B34" s="247"/>
      <c r="C34" s="247"/>
      <c r="D34" s="248"/>
      <c r="E34" s="247"/>
      <c r="F34" s="247"/>
    </row>
    <row r="35" spans="1:6" x14ac:dyDescent="0.2">
      <c r="A35" s="246">
        <v>5</v>
      </c>
      <c r="B35" s="247" t="s">
        <v>336</v>
      </c>
      <c r="C35" s="247" t="s">
        <v>337</v>
      </c>
      <c r="D35" s="248" t="s">
        <v>338</v>
      </c>
      <c r="E35" s="246">
        <v>0</v>
      </c>
      <c r="F35" s="246">
        <v>0</v>
      </c>
    </row>
    <row r="36" spans="1:6" x14ac:dyDescent="0.2">
      <c r="A36" s="246"/>
      <c r="B36" s="247"/>
      <c r="C36" s="247" t="s">
        <v>339</v>
      </c>
      <c r="D36" s="248" t="s">
        <v>340</v>
      </c>
      <c r="E36" s="246">
        <v>0</v>
      </c>
      <c r="F36" s="246">
        <v>0</v>
      </c>
    </row>
    <row r="37" spans="1:6" x14ac:dyDescent="0.2">
      <c r="A37" s="246"/>
      <c r="B37" s="247"/>
      <c r="C37" s="247"/>
      <c r="D37" s="248"/>
      <c r="E37" s="246"/>
      <c r="F37" s="246"/>
    </row>
    <row r="38" spans="1:6" x14ac:dyDescent="0.2">
      <c r="A38" s="246">
        <v>6</v>
      </c>
      <c r="B38" s="247" t="s">
        <v>341</v>
      </c>
      <c r="C38" s="247" t="s">
        <v>342</v>
      </c>
      <c r="D38" s="248" t="s">
        <v>343</v>
      </c>
      <c r="E38" s="246">
        <v>0</v>
      </c>
      <c r="F38" s="246">
        <v>0</v>
      </c>
    </row>
    <row r="39" spans="1:6" x14ac:dyDescent="0.2">
      <c r="A39" s="246"/>
      <c r="B39" s="247"/>
      <c r="C39" s="247"/>
      <c r="D39" s="248"/>
      <c r="E39" s="246"/>
      <c r="F39" s="246"/>
    </row>
    <row r="40" spans="1:6" x14ac:dyDescent="0.2">
      <c r="A40" s="246">
        <v>7</v>
      </c>
      <c r="B40" s="247" t="s">
        <v>344</v>
      </c>
      <c r="C40" s="247" t="s">
        <v>345</v>
      </c>
      <c r="D40" s="248" t="s">
        <v>346</v>
      </c>
      <c r="E40" s="246">
        <v>0</v>
      </c>
      <c r="F40" s="246">
        <v>0</v>
      </c>
    </row>
    <row r="41" spans="1:6" x14ac:dyDescent="0.2">
      <c r="A41" s="246"/>
      <c r="B41" s="247"/>
      <c r="C41" s="247" t="s">
        <v>347</v>
      </c>
      <c r="D41" s="248" t="s">
        <v>348</v>
      </c>
      <c r="E41" s="246">
        <v>0</v>
      </c>
      <c r="F41" s="246">
        <v>0</v>
      </c>
    </row>
    <row r="42" spans="1:6" x14ac:dyDescent="0.2">
      <c r="A42" s="246"/>
      <c r="B42" s="247"/>
      <c r="C42" s="247" t="s">
        <v>349</v>
      </c>
      <c r="D42" s="248" t="s">
        <v>350</v>
      </c>
      <c r="E42" s="246">
        <v>0</v>
      </c>
      <c r="F42" s="246">
        <v>0</v>
      </c>
    </row>
    <row r="43" spans="1:6" x14ac:dyDescent="0.2">
      <c r="A43" s="246"/>
      <c r="B43" s="247"/>
      <c r="C43" s="247" t="s">
        <v>351</v>
      </c>
      <c r="D43" s="248" t="s">
        <v>352</v>
      </c>
      <c r="E43" s="246">
        <v>0</v>
      </c>
      <c r="F43" s="246">
        <v>0</v>
      </c>
    </row>
    <row r="44" spans="1:6" x14ac:dyDescent="0.2">
      <c r="A44" s="246"/>
      <c r="B44" s="247"/>
      <c r="C44" s="247"/>
      <c r="D44" s="248"/>
      <c r="E44" s="247"/>
      <c r="F44" s="247"/>
    </row>
    <row r="45" spans="1:6" x14ac:dyDescent="0.2">
      <c r="A45" s="246">
        <v>8</v>
      </c>
      <c r="B45" s="247" t="s">
        <v>353</v>
      </c>
      <c r="C45" s="247" t="s">
        <v>354</v>
      </c>
      <c r="D45" s="248" t="s">
        <v>355</v>
      </c>
      <c r="E45" s="246">
        <v>0</v>
      </c>
      <c r="F45" s="246">
        <v>0</v>
      </c>
    </row>
    <row r="46" spans="1:6" x14ac:dyDescent="0.2">
      <c r="A46" s="246"/>
      <c r="B46" s="247"/>
      <c r="C46" s="247"/>
      <c r="D46" s="248"/>
      <c r="E46" s="247"/>
      <c r="F46" s="247"/>
    </row>
    <row r="47" spans="1:6" x14ac:dyDescent="0.2">
      <c r="A47" s="246">
        <v>9</v>
      </c>
      <c r="B47" s="247" t="s">
        <v>356</v>
      </c>
      <c r="C47" s="250" t="s">
        <v>357</v>
      </c>
      <c r="D47" s="251" t="s">
        <v>358</v>
      </c>
      <c r="E47" s="246">
        <v>0</v>
      </c>
      <c r="F47" s="246">
        <v>0</v>
      </c>
    </row>
    <row r="48" spans="1:6" x14ac:dyDescent="0.2">
      <c r="A48" s="246"/>
      <c r="B48" s="247"/>
      <c r="C48" s="247" t="s">
        <v>359</v>
      </c>
      <c r="D48" s="248" t="s">
        <v>360</v>
      </c>
      <c r="E48" s="246">
        <v>0</v>
      </c>
      <c r="F48" s="246">
        <v>0</v>
      </c>
    </row>
    <row r="49" spans="1:6" ht="25.5" x14ac:dyDescent="0.2">
      <c r="A49" s="246"/>
      <c r="B49" s="247"/>
      <c r="C49" s="247" t="s">
        <v>361</v>
      </c>
      <c r="D49" s="248" t="s">
        <v>362</v>
      </c>
      <c r="E49" s="246">
        <v>0</v>
      </c>
      <c r="F49" s="246">
        <v>0</v>
      </c>
    </row>
    <row r="50" spans="1:6" x14ac:dyDescent="0.2">
      <c r="A50" s="246"/>
      <c r="B50" s="247"/>
      <c r="C50" s="247"/>
      <c r="D50" s="248"/>
      <c r="E50" s="247"/>
      <c r="F50" s="247"/>
    </row>
    <row r="51" spans="1:6" x14ac:dyDescent="0.2">
      <c r="A51" s="246">
        <v>10</v>
      </c>
      <c r="B51" s="247" t="s">
        <v>363</v>
      </c>
      <c r="C51" s="247" t="s">
        <v>364</v>
      </c>
      <c r="D51" s="248" t="s">
        <v>365</v>
      </c>
      <c r="E51" s="246">
        <v>0</v>
      </c>
      <c r="F51" s="246">
        <v>0</v>
      </c>
    </row>
    <row r="52" spans="1:6" x14ac:dyDescent="0.2">
      <c r="A52" s="246"/>
      <c r="B52" s="247"/>
      <c r="C52" s="247" t="s">
        <v>366</v>
      </c>
      <c r="D52" s="248" t="s">
        <v>367</v>
      </c>
      <c r="E52" s="246">
        <v>0</v>
      </c>
      <c r="F52" s="246">
        <v>0</v>
      </c>
    </row>
    <row r="53" spans="1:6" x14ac:dyDescent="0.2">
      <c r="A53" s="246"/>
      <c r="B53" s="247"/>
      <c r="C53" s="247"/>
      <c r="D53" s="248"/>
      <c r="E53" s="246"/>
      <c r="F53" s="246"/>
    </row>
    <row r="54" spans="1:6" x14ac:dyDescent="0.2">
      <c r="A54" s="246">
        <v>11</v>
      </c>
      <c r="B54" s="247" t="s">
        <v>368</v>
      </c>
      <c r="C54" s="247" t="s">
        <v>369</v>
      </c>
      <c r="D54" s="248" t="s">
        <v>370</v>
      </c>
      <c r="E54" s="246">
        <v>0</v>
      </c>
      <c r="F54" s="246">
        <v>0</v>
      </c>
    </row>
    <row r="55" spans="1:6" x14ac:dyDescent="0.2">
      <c r="A55" s="246"/>
      <c r="B55" s="247"/>
      <c r="C55" s="247" t="s">
        <v>371</v>
      </c>
      <c r="D55" s="248" t="s">
        <v>372</v>
      </c>
      <c r="E55" s="246">
        <v>0</v>
      </c>
      <c r="F55" s="246">
        <v>0</v>
      </c>
    </row>
    <row r="56" spans="1:6" x14ac:dyDescent="0.2">
      <c r="A56" s="246"/>
      <c r="B56" s="247"/>
      <c r="C56" s="247" t="s">
        <v>373</v>
      </c>
      <c r="D56" s="248" t="s">
        <v>374</v>
      </c>
      <c r="E56" s="246">
        <v>0</v>
      </c>
      <c r="F56" s="246">
        <v>0</v>
      </c>
    </row>
    <row r="57" spans="1:6" x14ac:dyDescent="0.2">
      <c r="A57" s="246"/>
      <c r="B57" s="247"/>
      <c r="C57" s="247" t="s">
        <v>375</v>
      </c>
      <c r="D57" s="248" t="s">
        <v>376</v>
      </c>
      <c r="E57" s="246">
        <v>0</v>
      </c>
      <c r="F57" s="246">
        <v>0</v>
      </c>
    </row>
    <row r="58" spans="1:6" x14ac:dyDescent="0.2">
      <c r="A58" s="246"/>
      <c r="B58" s="247"/>
      <c r="C58" s="247"/>
      <c r="D58" s="248"/>
      <c r="E58" s="247"/>
      <c r="F58" s="247"/>
    </row>
    <row r="59" spans="1:6" x14ac:dyDescent="0.2">
      <c r="A59" s="246">
        <v>12</v>
      </c>
      <c r="B59" s="247" t="s">
        <v>377</v>
      </c>
      <c r="C59" s="247" t="s">
        <v>378</v>
      </c>
      <c r="D59" s="248" t="s">
        <v>379</v>
      </c>
      <c r="E59" s="246">
        <v>0</v>
      </c>
      <c r="F59" s="246">
        <v>0</v>
      </c>
    </row>
    <row r="60" spans="1:6" x14ac:dyDescent="0.2">
      <c r="A60" s="246"/>
      <c r="B60" s="247"/>
      <c r="C60" s="247" t="s">
        <v>380</v>
      </c>
      <c r="D60" s="248" t="s">
        <v>381</v>
      </c>
      <c r="E60" s="246">
        <v>0</v>
      </c>
      <c r="F60" s="246">
        <v>0</v>
      </c>
    </row>
    <row r="61" spans="1:6" x14ac:dyDescent="0.2">
      <c r="A61" s="246"/>
      <c r="B61" s="247"/>
      <c r="C61" s="247" t="s">
        <v>382</v>
      </c>
      <c r="D61" s="248" t="s">
        <v>383</v>
      </c>
      <c r="E61" s="246">
        <v>0</v>
      </c>
      <c r="F61" s="246">
        <v>0</v>
      </c>
    </row>
    <row r="62" spans="1:6" x14ac:dyDescent="0.2">
      <c r="A62" s="246"/>
      <c r="B62" s="247"/>
      <c r="C62" s="247" t="s">
        <v>384</v>
      </c>
      <c r="D62" s="248" t="s">
        <v>385</v>
      </c>
      <c r="E62" s="246">
        <v>0</v>
      </c>
      <c r="F62" s="246">
        <v>0</v>
      </c>
    </row>
    <row r="63" spans="1:6" x14ac:dyDescent="0.2">
      <c r="A63" s="246"/>
      <c r="B63" s="247"/>
      <c r="C63" s="247"/>
      <c r="D63" s="248"/>
      <c r="E63" s="246"/>
      <c r="F63" s="246"/>
    </row>
    <row r="64" spans="1:6" x14ac:dyDescent="0.2">
      <c r="A64" s="246">
        <v>13</v>
      </c>
      <c r="B64" s="247" t="s">
        <v>386</v>
      </c>
      <c r="C64" s="247" t="s">
        <v>387</v>
      </c>
      <c r="D64" s="248" t="s">
        <v>388</v>
      </c>
      <c r="E64" s="246">
        <v>0</v>
      </c>
      <c r="F64" s="246">
        <v>0</v>
      </c>
    </row>
    <row r="65" spans="1:6" x14ac:dyDescent="0.2">
      <c r="A65" s="246"/>
      <c r="B65" s="247"/>
      <c r="C65" s="247"/>
      <c r="D65" s="248"/>
      <c r="E65" s="246"/>
      <c r="F65" s="246"/>
    </row>
    <row r="66" spans="1:6" x14ac:dyDescent="0.2">
      <c r="A66" s="246">
        <v>14</v>
      </c>
      <c r="B66" s="247" t="s">
        <v>389</v>
      </c>
      <c r="C66" s="247" t="s">
        <v>390</v>
      </c>
      <c r="D66" s="248" t="s">
        <v>391</v>
      </c>
      <c r="E66" s="246">
        <v>0</v>
      </c>
      <c r="F66" s="246">
        <v>0</v>
      </c>
    </row>
    <row r="67" spans="1:6" ht="25.5" x14ac:dyDescent="0.2">
      <c r="A67" s="246"/>
      <c r="B67" s="247"/>
      <c r="C67" s="247" t="s">
        <v>392</v>
      </c>
      <c r="D67" s="248" t="s">
        <v>393</v>
      </c>
      <c r="E67" s="246">
        <v>0</v>
      </c>
      <c r="F67" s="246">
        <v>0</v>
      </c>
    </row>
    <row r="68" spans="1:6" ht="25.5" x14ac:dyDescent="0.2">
      <c r="A68" s="246"/>
      <c r="B68" s="247"/>
      <c r="C68" s="247" t="s">
        <v>394</v>
      </c>
      <c r="D68" s="248" t="s">
        <v>395</v>
      </c>
      <c r="E68" s="246">
        <v>0</v>
      </c>
      <c r="F68" s="246">
        <v>0</v>
      </c>
    </row>
    <row r="69" spans="1:6" x14ac:dyDescent="0.2">
      <c r="A69" s="246"/>
      <c r="B69" s="247"/>
      <c r="C69" s="247" t="s">
        <v>396</v>
      </c>
      <c r="D69" s="248" t="s">
        <v>397</v>
      </c>
      <c r="E69" s="246">
        <v>0</v>
      </c>
      <c r="F69" s="246">
        <v>0</v>
      </c>
    </row>
    <row r="70" spans="1:6" ht="25.5" x14ac:dyDescent="0.2">
      <c r="A70" s="246"/>
      <c r="B70" s="247"/>
      <c r="C70" s="247" t="s">
        <v>398</v>
      </c>
      <c r="D70" s="248" t="s">
        <v>399</v>
      </c>
      <c r="E70" s="246">
        <v>0</v>
      </c>
      <c r="F70" s="246">
        <v>0</v>
      </c>
    </row>
    <row r="71" spans="1:6" x14ac:dyDescent="0.2">
      <c r="A71" s="246"/>
      <c r="B71" s="247"/>
      <c r="C71" s="247" t="s">
        <v>400</v>
      </c>
      <c r="D71" s="248" t="s">
        <v>401</v>
      </c>
      <c r="E71" s="246">
        <v>0</v>
      </c>
      <c r="F71" s="246">
        <v>0</v>
      </c>
    </row>
    <row r="72" spans="1:6" x14ac:dyDescent="0.2">
      <c r="A72" s="246"/>
      <c r="B72" s="252" t="s">
        <v>0</v>
      </c>
      <c r="C72" s="252"/>
      <c r="D72" s="252">
        <v>47</v>
      </c>
      <c r="E72" s="252">
        <f>SUM(E2:E70)</f>
        <v>0</v>
      </c>
      <c r="F72" s="252">
        <f>SUM(F2:F71)</f>
        <v>0</v>
      </c>
    </row>
    <row r="74" spans="1:6" x14ac:dyDescent="0.2">
      <c r="A74" s="236" t="s">
        <v>402</v>
      </c>
    </row>
    <row r="75" spans="1:6" x14ac:dyDescent="0.2">
      <c r="A75" s="236" t="s">
        <v>403</v>
      </c>
    </row>
  </sheetData>
  <mergeCells count="10">
    <mergeCell ref="A1:F1"/>
    <mergeCell ref="A3:F3"/>
    <mergeCell ref="E4:F4"/>
    <mergeCell ref="A9:A11"/>
    <mergeCell ref="B9:B11"/>
    <mergeCell ref="C9:C11"/>
    <mergeCell ref="D9:D11"/>
    <mergeCell ref="E9:F9"/>
    <mergeCell ref="E10:E11"/>
    <mergeCell ref="F10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X66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7" sqref="A7"/>
      <selection pane="bottomRight" activeCell="C20" sqref="C20"/>
    </sheetView>
  </sheetViews>
  <sheetFormatPr defaultRowHeight="18.75" x14ac:dyDescent="0.2"/>
  <cols>
    <col min="1" max="1" width="4.85546875" style="57" customWidth="1"/>
    <col min="2" max="2" width="25.5703125" style="160" customWidth="1"/>
    <col min="3" max="3" width="12.85546875" style="58" customWidth="1"/>
    <col min="4" max="4" width="13.140625" style="58" customWidth="1"/>
    <col min="5" max="5" width="12.85546875" style="58" customWidth="1"/>
    <col min="6" max="6" width="12.28515625" style="235" customWidth="1"/>
    <col min="7" max="7" width="12.7109375" style="160" customWidth="1"/>
    <col min="8" max="8" width="11.85546875" style="160" customWidth="1"/>
    <col min="9" max="10" width="11.28515625" style="260" customWidth="1"/>
    <col min="11" max="11" width="13.7109375" style="63" customWidth="1"/>
    <col min="12" max="13" width="10.28515625" style="63" bestFit="1" customWidth="1"/>
    <col min="14" max="14" width="9.28515625" style="259" bestFit="1" customWidth="1"/>
    <col min="15" max="15" width="10" style="63" customWidth="1"/>
    <col min="16" max="16" width="10.85546875" style="63" customWidth="1"/>
    <col min="17" max="17" width="9.140625" style="63"/>
    <col min="18" max="18" width="9.140625" style="260"/>
    <col min="19" max="24" width="9.140625" style="63"/>
    <col min="25" max="16384" width="9.140625" style="160"/>
  </cols>
  <sheetData>
    <row r="1" spans="1:24" ht="12.75" customHeight="1" x14ac:dyDescent="0.2">
      <c r="A1" s="419" t="s">
        <v>416</v>
      </c>
      <c r="B1" s="419"/>
      <c r="C1" s="419"/>
      <c r="D1" s="419"/>
      <c r="E1" s="419"/>
      <c r="F1" s="419"/>
      <c r="G1" s="419"/>
      <c r="H1" s="419"/>
      <c r="K1" s="259"/>
      <c r="O1" s="160"/>
      <c r="P1" s="160"/>
      <c r="Q1" s="160"/>
      <c r="R1" s="392"/>
      <c r="S1" s="160"/>
      <c r="T1" s="160"/>
      <c r="U1" s="160"/>
      <c r="V1" s="160"/>
      <c r="W1" s="160"/>
      <c r="X1" s="160"/>
    </row>
    <row r="2" spans="1:24" x14ac:dyDescent="0.2">
      <c r="A2" s="421" t="s">
        <v>242</v>
      </c>
      <c r="B2" s="421"/>
      <c r="C2" s="421"/>
      <c r="D2" s="421"/>
      <c r="E2" s="421"/>
      <c r="F2" s="421"/>
      <c r="G2" s="421"/>
      <c r="H2" s="421"/>
      <c r="O2" s="160"/>
      <c r="P2" s="160"/>
      <c r="Q2" s="160"/>
      <c r="R2" s="392"/>
      <c r="S2" s="160"/>
      <c r="T2" s="160"/>
      <c r="U2" s="160"/>
      <c r="V2" s="160"/>
      <c r="W2" s="160"/>
      <c r="X2" s="160"/>
    </row>
    <row r="3" spans="1:24" ht="14.25" customHeight="1" x14ac:dyDescent="0.2">
      <c r="A3" s="42"/>
      <c r="B3" s="93" t="s">
        <v>12</v>
      </c>
      <c r="C3" s="56"/>
      <c r="E3" s="56"/>
      <c r="G3" s="420" t="s">
        <v>205</v>
      </c>
      <c r="H3" s="420"/>
      <c r="O3" s="160"/>
      <c r="P3" s="160"/>
      <c r="Q3" s="160"/>
      <c r="R3" s="392"/>
      <c r="S3" s="160"/>
      <c r="T3" s="160"/>
      <c r="U3" s="160"/>
      <c r="V3" s="160"/>
      <c r="W3" s="160"/>
      <c r="X3" s="160"/>
    </row>
    <row r="4" spans="1:24" x14ac:dyDescent="0.2">
      <c r="A4" s="422" t="s">
        <v>232</v>
      </c>
      <c r="B4" s="422" t="s">
        <v>3</v>
      </c>
      <c r="C4" s="423" t="s">
        <v>14</v>
      </c>
      <c r="D4" s="423"/>
      <c r="E4" s="423" t="s">
        <v>9</v>
      </c>
      <c r="F4" s="423"/>
      <c r="G4" s="422" t="s">
        <v>10</v>
      </c>
      <c r="H4" s="422"/>
      <c r="K4" s="418" t="s">
        <v>477</v>
      </c>
      <c r="L4" s="418"/>
      <c r="M4" s="418"/>
      <c r="N4" s="418"/>
      <c r="O4" s="160"/>
      <c r="P4" s="160"/>
      <c r="Q4" s="160"/>
      <c r="R4" s="392"/>
      <c r="S4" s="160"/>
      <c r="T4" s="160"/>
      <c r="U4" s="160"/>
      <c r="V4" s="160"/>
      <c r="W4" s="160"/>
      <c r="X4" s="160"/>
    </row>
    <row r="5" spans="1:24" ht="39.950000000000003" customHeight="1" x14ac:dyDescent="0.2">
      <c r="A5" s="422"/>
      <c r="B5" s="422"/>
      <c r="C5" s="256" t="s">
        <v>417</v>
      </c>
      <c r="D5" s="256" t="s">
        <v>418</v>
      </c>
      <c r="E5" s="256" t="s">
        <v>417</v>
      </c>
      <c r="F5" s="256" t="s">
        <v>418</v>
      </c>
      <c r="G5" s="256" t="s">
        <v>417</v>
      </c>
      <c r="H5" s="256" t="s">
        <v>418</v>
      </c>
      <c r="I5" s="227" t="s">
        <v>419</v>
      </c>
      <c r="J5" s="226" t="s">
        <v>420</v>
      </c>
      <c r="K5" s="282" t="s">
        <v>423</v>
      </c>
      <c r="L5" s="282" t="s">
        <v>271</v>
      </c>
      <c r="M5" s="283" t="s">
        <v>424</v>
      </c>
      <c r="N5" s="257" t="s">
        <v>271</v>
      </c>
      <c r="O5" s="390" t="s">
        <v>501</v>
      </c>
      <c r="P5" s="390" t="s">
        <v>502</v>
      </c>
      <c r="Q5" s="390"/>
      <c r="R5" s="393"/>
      <c r="S5" s="390"/>
      <c r="T5" s="390"/>
      <c r="U5" s="160"/>
      <c r="V5" s="160"/>
      <c r="W5" s="160"/>
      <c r="X5" s="160"/>
    </row>
    <row r="6" spans="1:24" ht="15" customHeight="1" x14ac:dyDescent="0.2">
      <c r="A6" s="72">
        <v>1</v>
      </c>
      <c r="B6" s="73" t="s">
        <v>56</v>
      </c>
      <c r="C6" s="75">
        <v>977335</v>
      </c>
      <c r="D6" s="257">
        <v>1043964</v>
      </c>
      <c r="E6" s="75">
        <v>639622</v>
      </c>
      <c r="F6" s="258">
        <v>719997</v>
      </c>
      <c r="G6" s="76">
        <f>E6*100/C6</f>
        <v>65.445522773665118</v>
      </c>
      <c r="H6" s="76">
        <f>F6*100/D6</f>
        <v>68.967608078439483</v>
      </c>
      <c r="I6" s="261">
        <f>(D6-C6)*100/C6</f>
        <v>6.817416750653563</v>
      </c>
      <c r="J6" s="261">
        <f>(F6-E6)*100/E6</f>
        <v>12.566015552935953</v>
      </c>
      <c r="K6" s="259">
        <f>'CD Ratio_2'!C6+'CD Ratio_2'!D6+'CD Ratio_2'!E6</f>
        <v>1043964</v>
      </c>
      <c r="L6" s="259">
        <f t="shared" ref="L6:L37" si="0">D6-K6</f>
        <v>0</v>
      </c>
      <c r="M6" s="259">
        <f>'CD Ratio_2'!F6+'CD Ratio_2'!G6+'CD Ratio_2'!H6</f>
        <v>719997</v>
      </c>
      <c r="N6" s="259">
        <f t="shared" ref="N6:N63" si="1">F6-M6</f>
        <v>0</v>
      </c>
      <c r="O6" s="391">
        <f>C6+E6</f>
        <v>1616957</v>
      </c>
      <c r="P6" s="391">
        <f>D6+F6</f>
        <v>1763961</v>
      </c>
      <c r="Q6" s="391">
        <f>P6-O6</f>
        <v>147004</v>
      </c>
      <c r="R6" s="394">
        <f>Q6*100/O6</f>
        <v>9.0913982251847134</v>
      </c>
      <c r="S6" s="160"/>
      <c r="T6" s="160"/>
      <c r="U6" s="160"/>
      <c r="V6" s="160"/>
      <c r="W6" s="160"/>
      <c r="X6" s="160"/>
    </row>
    <row r="7" spans="1:24" ht="15" customHeight="1" x14ac:dyDescent="0.2">
      <c r="A7" s="72">
        <v>2</v>
      </c>
      <c r="B7" s="73" t="s">
        <v>57</v>
      </c>
      <c r="C7" s="75">
        <v>144927</v>
      </c>
      <c r="D7" s="257">
        <v>126364.01</v>
      </c>
      <c r="E7" s="74">
        <v>47367</v>
      </c>
      <c r="F7" s="258">
        <v>50354.93</v>
      </c>
      <c r="G7" s="76">
        <f t="shared" ref="G7:G63" si="2">E7*100/C7</f>
        <v>32.683350928398433</v>
      </c>
      <c r="H7" s="76">
        <f t="shared" ref="H7:H63" si="3">F7*100/D7</f>
        <v>39.849107352639415</v>
      </c>
      <c r="I7" s="261">
        <f t="shared" ref="I7:I63" si="4">(D7-C7)*100/C7</f>
        <v>-12.808510491488821</v>
      </c>
      <c r="J7" s="261">
        <f t="shared" ref="J7:J63" si="5">(F7-E7)*100/E7</f>
        <v>6.3080414634661262</v>
      </c>
      <c r="K7" s="259">
        <f>'CD Ratio_2'!C7+'CD Ratio_2'!D7+'CD Ratio_2'!E7</f>
        <v>126364.01</v>
      </c>
      <c r="L7" s="259">
        <f t="shared" si="0"/>
        <v>0</v>
      </c>
      <c r="M7" s="259">
        <f>'CD Ratio_2'!F7+'CD Ratio_2'!G7+'CD Ratio_2'!H7</f>
        <v>50354.93</v>
      </c>
      <c r="N7" s="259">
        <f t="shared" si="1"/>
        <v>0</v>
      </c>
      <c r="O7" s="391">
        <f t="shared" ref="O7:O63" si="6">C7+E7</f>
        <v>192294</v>
      </c>
      <c r="P7" s="391">
        <f t="shared" ref="P7:P63" si="7">D7+F7</f>
        <v>176718.94</v>
      </c>
      <c r="Q7" s="391">
        <f t="shared" ref="Q7:Q63" si="8">P7-O7</f>
        <v>-15575.059999999998</v>
      </c>
      <c r="R7" s="394">
        <f t="shared" ref="R7:R63" si="9">Q7*100/O7</f>
        <v>-8.0996078920819148</v>
      </c>
      <c r="S7" s="160"/>
      <c r="T7" s="160"/>
      <c r="U7" s="160"/>
      <c r="V7" s="160"/>
      <c r="W7" s="160"/>
      <c r="X7" s="160"/>
    </row>
    <row r="8" spans="1:24" ht="15" customHeight="1" x14ac:dyDescent="0.2">
      <c r="A8" s="72">
        <v>3</v>
      </c>
      <c r="B8" s="73" t="s">
        <v>58</v>
      </c>
      <c r="C8" s="77">
        <v>812900</v>
      </c>
      <c r="D8" s="257">
        <v>839970</v>
      </c>
      <c r="E8" s="77">
        <v>892300</v>
      </c>
      <c r="F8" s="258">
        <v>705600</v>
      </c>
      <c r="G8" s="76">
        <f t="shared" si="2"/>
        <v>109.76749907737729</v>
      </c>
      <c r="H8" s="76">
        <f t="shared" si="3"/>
        <v>84.00300010714669</v>
      </c>
      <c r="I8" s="261">
        <f t="shared" si="4"/>
        <v>3.3300528970353058</v>
      </c>
      <c r="J8" s="261">
        <f t="shared" si="5"/>
        <v>-20.923456236691695</v>
      </c>
      <c r="K8" s="259">
        <f>'CD Ratio_2'!C8+'CD Ratio_2'!D8+'CD Ratio_2'!E8</f>
        <v>839970</v>
      </c>
      <c r="L8" s="259">
        <f t="shared" si="0"/>
        <v>0</v>
      </c>
      <c r="M8" s="259">
        <f>'CD Ratio_2'!F8+'CD Ratio_2'!G8+'CD Ratio_2'!H8</f>
        <v>705600</v>
      </c>
      <c r="N8" s="259">
        <f t="shared" si="1"/>
        <v>0</v>
      </c>
      <c r="O8" s="391">
        <f t="shared" si="6"/>
        <v>1705200</v>
      </c>
      <c r="P8" s="391">
        <f t="shared" si="7"/>
        <v>1545570</v>
      </c>
      <c r="Q8" s="391">
        <f t="shared" si="8"/>
        <v>-159630</v>
      </c>
      <c r="R8" s="394">
        <f t="shared" si="9"/>
        <v>-9.3613652357494725</v>
      </c>
      <c r="S8" s="160"/>
      <c r="T8" s="160"/>
      <c r="U8" s="160"/>
      <c r="V8" s="160"/>
      <c r="W8" s="160"/>
      <c r="X8" s="160"/>
    </row>
    <row r="9" spans="1:24" ht="15" customHeight="1" x14ac:dyDescent="0.2">
      <c r="A9" s="72">
        <v>4</v>
      </c>
      <c r="B9" s="73" t="s">
        <v>59</v>
      </c>
      <c r="C9" s="74">
        <v>1958252</v>
      </c>
      <c r="D9" s="257">
        <v>2096089</v>
      </c>
      <c r="E9" s="74">
        <v>1640857</v>
      </c>
      <c r="F9" s="258">
        <v>1651247</v>
      </c>
      <c r="G9" s="76">
        <f t="shared" si="2"/>
        <v>83.791922592189366</v>
      </c>
      <c r="H9" s="76">
        <f t="shared" si="3"/>
        <v>78.777523282646868</v>
      </c>
      <c r="I9" s="261">
        <f t="shared" si="4"/>
        <v>7.0387774402885839</v>
      </c>
      <c r="J9" s="261">
        <f t="shared" si="5"/>
        <v>0.63320569677918304</v>
      </c>
      <c r="K9" s="259">
        <f>'CD Ratio_2'!C9+'CD Ratio_2'!D9+'CD Ratio_2'!E9</f>
        <v>2096089</v>
      </c>
      <c r="L9" s="259">
        <f t="shared" si="0"/>
        <v>0</v>
      </c>
      <c r="M9" s="259">
        <f>'CD Ratio_2'!F9+'CD Ratio_2'!G9+'CD Ratio_2'!H9</f>
        <v>1651247</v>
      </c>
      <c r="N9" s="259">
        <f t="shared" si="1"/>
        <v>0</v>
      </c>
      <c r="O9" s="391">
        <f t="shared" si="6"/>
        <v>3599109</v>
      </c>
      <c r="P9" s="391">
        <f t="shared" si="7"/>
        <v>3747336</v>
      </c>
      <c r="Q9" s="391">
        <f t="shared" si="8"/>
        <v>148227</v>
      </c>
      <c r="R9" s="394">
        <f t="shared" si="9"/>
        <v>4.1184359795716103</v>
      </c>
      <c r="S9" s="160"/>
      <c r="T9" s="160"/>
      <c r="U9" s="160"/>
      <c r="V9" s="160"/>
      <c r="W9" s="160"/>
      <c r="X9" s="160"/>
    </row>
    <row r="10" spans="1:24" ht="15" customHeight="1" x14ac:dyDescent="0.2">
      <c r="A10" s="72">
        <v>5</v>
      </c>
      <c r="B10" s="73" t="s">
        <v>60</v>
      </c>
      <c r="C10" s="74">
        <v>516109</v>
      </c>
      <c r="D10" s="257">
        <v>531147</v>
      </c>
      <c r="E10" s="74">
        <v>367596</v>
      </c>
      <c r="F10" s="258">
        <v>315826</v>
      </c>
      <c r="G10" s="76">
        <f t="shared" si="2"/>
        <v>71.224489400494861</v>
      </c>
      <c r="H10" s="76">
        <f t="shared" si="3"/>
        <v>59.461128463495037</v>
      </c>
      <c r="I10" s="261">
        <f t="shared" si="4"/>
        <v>2.913725588974422</v>
      </c>
      <c r="J10" s="261">
        <f t="shared" si="5"/>
        <v>-14.083395902022874</v>
      </c>
      <c r="K10" s="259">
        <f>'CD Ratio_2'!C10+'CD Ratio_2'!D10+'CD Ratio_2'!E10</f>
        <v>531147.21</v>
      </c>
      <c r="L10" s="259">
        <f t="shared" si="0"/>
        <v>-0.2099999999627471</v>
      </c>
      <c r="M10" s="259">
        <f>'CD Ratio_2'!F10+'CD Ratio_2'!G10+'CD Ratio_2'!H10</f>
        <v>315826</v>
      </c>
      <c r="N10" s="259">
        <f t="shared" si="1"/>
        <v>0</v>
      </c>
      <c r="O10" s="391">
        <f t="shared" si="6"/>
        <v>883705</v>
      </c>
      <c r="P10" s="391">
        <f t="shared" si="7"/>
        <v>846973</v>
      </c>
      <c r="Q10" s="391">
        <f t="shared" si="8"/>
        <v>-36732</v>
      </c>
      <c r="R10" s="394">
        <f t="shared" si="9"/>
        <v>-4.1565907174905652</v>
      </c>
      <c r="S10" s="160"/>
      <c r="T10" s="160"/>
      <c r="U10" s="160"/>
      <c r="V10" s="160"/>
      <c r="W10" s="160"/>
      <c r="X10" s="160"/>
    </row>
    <row r="11" spans="1:24" ht="15" customHeight="1" x14ac:dyDescent="0.2">
      <c r="A11" s="72">
        <v>6</v>
      </c>
      <c r="B11" s="73" t="s">
        <v>69</v>
      </c>
      <c r="C11" s="79">
        <v>4018</v>
      </c>
      <c r="D11" s="257">
        <v>2219</v>
      </c>
      <c r="E11" s="79">
        <v>763</v>
      </c>
      <c r="F11" s="258">
        <v>573</v>
      </c>
      <c r="G11" s="76">
        <f t="shared" si="2"/>
        <v>18.989547038327526</v>
      </c>
      <c r="H11" s="76">
        <f t="shared" si="3"/>
        <v>25.822442541685444</v>
      </c>
      <c r="I11" s="261">
        <f t="shared" si="4"/>
        <v>-44.773519163763069</v>
      </c>
      <c r="J11" s="261">
        <f t="shared" si="5"/>
        <v>-24.901703800786368</v>
      </c>
      <c r="K11" s="259">
        <f>'CD Ratio_2'!C11+'CD Ratio_2'!D11+'CD Ratio_2'!E11</f>
        <v>2219</v>
      </c>
      <c r="L11" s="259">
        <f t="shared" si="0"/>
        <v>0</v>
      </c>
      <c r="M11" s="259">
        <f>'CD Ratio_2'!F11+'CD Ratio_2'!G11+'CD Ratio_2'!H11</f>
        <v>573</v>
      </c>
      <c r="N11" s="259">
        <f t="shared" si="1"/>
        <v>0</v>
      </c>
      <c r="O11" s="391">
        <f t="shared" si="6"/>
        <v>4781</v>
      </c>
      <c r="P11" s="391">
        <f t="shared" si="7"/>
        <v>2792</v>
      </c>
      <c r="Q11" s="391">
        <f t="shared" si="8"/>
        <v>-1989</v>
      </c>
      <c r="R11" s="394">
        <f t="shared" si="9"/>
        <v>-41.602175277138677</v>
      </c>
      <c r="S11" s="160"/>
      <c r="T11" s="160"/>
      <c r="U11" s="160"/>
      <c r="V11" s="160"/>
      <c r="W11" s="160"/>
      <c r="X11" s="160"/>
    </row>
    <row r="12" spans="1:24" ht="15" customHeight="1" x14ac:dyDescent="0.2">
      <c r="A12" s="72">
        <v>7</v>
      </c>
      <c r="B12" s="73" t="s">
        <v>61</v>
      </c>
      <c r="C12" s="78">
        <v>639410</v>
      </c>
      <c r="D12" s="257">
        <v>656556</v>
      </c>
      <c r="E12" s="78">
        <v>408664</v>
      </c>
      <c r="F12" s="258">
        <v>416087</v>
      </c>
      <c r="G12" s="76">
        <f t="shared" si="2"/>
        <v>63.912669492188108</v>
      </c>
      <c r="H12" s="76">
        <f t="shared" si="3"/>
        <v>63.374182857212482</v>
      </c>
      <c r="I12" s="261">
        <f t="shared" si="4"/>
        <v>2.6815345396537431</v>
      </c>
      <c r="J12" s="261">
        <f t="shared" si="5"/>
        <v>1.8164066323434411</v>
      </c>
      <c r="K12" s="259">
        <f>'CD Ratio_2'!C12+'CD Ratio_2'!D12+'CD Ratio_2'!E12</f>
        <v>656556</v>
      </c>
      <c r="L12" s="259">
        <f t="shared" si="0"/>
        <v>0</v>
      </c>
      <c r="M12" s="259">
        <f>'CD Ratio_2'!F12+'CD Ratio_2'!G12+'CD Ratio_2'!H12</f>
        <v>416087</v>
      </c>
      <c r="N12" s="259">
        <f t="shared" si="1"/>
        <v>0</v>
      </c>
      <c r="O12" s="391">
        <f t="shared" si="6"/>
        <v>1048074</v>
      </c>
      <c r="P12" s="391">
        <f t="shared" si="7"/>
        <v>1072643</v>
      </c>
      <c r="Q12" s="391">
        <f t="shared" si="8"/>
        <v>24569</v>
      </c>
      <c r="R12" s="394">
        <f t="shared" si="9"/>
        <v>2.3442047031030251</v>
      </c>
      <c r="S12" s="160"/>
      <c r="T12" s="160"/>
      <c r="U12" s="160"/>
      <c r="V12" s="160"/>
      <c r="W12" s="160"/>
      <c r="X12" s="160"/>
    </row>
    <row r="13" spans="1:24" ht="15" customHeight="1" x14ac:dyDescent="0.2">
      <c r="A13" s="72">
        <v>8</v>
      </c>
      <c r="B13" s="73" t="s">
        <v>62</v>
      </c>
      <c r="C13" s="80">
        <v>2123312</v>
      </c>
      <c r="D13" s="257">
        <v>2396642</v>
      </c>
      <c r="E13" s="80">
        <v>1204520</v>
      </c>
      <c r="F13" s="258">
        <v>1234413.5900000001</v>
      </c>
      <c r="G13" s="76">
        <f t="shared" si="2"/>
        <v>56.728356454444757</v>
      </c>
      <c r="H13" s="76">
        <f t="shared" si="3"/>
        <v>51.505965012713631</v>
      </c>
      <c r="I13" s="261">
        <f t="shared" si="4"/>
        <v>12.872813792791639</v>
      </c>
      <c r="J13" s="261">
        <f t="shared" si="5"/>
        <v>2.4817844452562086</v>
      </c>
      <c r="K13" s="259">
        <f>'CD Ratio_2'!C13+'CD Ratio_2'!D13+'CD Ratio_2'!E13</f>
        <v>2396642</v>
      </c>
      <c r="L13" s="259">
        <f t="shared" si="0"/>
        <v>0</v>
      </c>
      <c r="M13" s="259">
        <f>'CD Ratio_2'!F13+'CD Ratio_2'!G13+'CD Ratio_2'!H13</f>
        <v>1234413.5899999999</v>
      </c>
      <c r="N13" s="259">
        <f t="shared" si="1"/>
        <v>0</v>
      </c>
      <c r="O13" s="391">
        <f t="shared" si="6"/>
        <v>3327832</v>
      </c>
      <c r="P13" s="391">
        <f t="shared" si="7"/>
        <v>3631055.59</v>
      </c>
      <c r="Q13" s="391">
        <f t="shared" si="8"/>
        <v>303223.58999999985</v>
      </c>
      <c r="R13" s="395">
        <f t="shared" si="9"/>
        <v>9.1117457251447753</v>
      </c>
      <c r="S13" s="160"/>
      <c r="T13" s="160"/>
      <c r="U13" s="160"/>
      <c r="V13" s="160"/>
      <c r="W13" s="160"/>
      <c r="X13" s="160"/>
    </row>
    <row r="14" spans="1:24" ht="15" customHeight="1" x14ac:dyDescent="0.2">
      <c r="A14" s="72">
        <v>9</v>
      </c>
      <c r="B14" s="73" t="s">
        <v>49</v>
      </c>
      <c r="C14" s="74">
        <v>156994</v>
      </c>
      <c r="D14" s="257">
        <v>168884</v>
      </c>
      <c r="E14" s="74">
        <v>278661</v>
      </c>
      <c r="F14" s="258">
        <v>318609</v>
      </c>
      <c r="G14" s="76">
        <f t="shared" si="2"/>
        <v>177.49786616049022</v>
      </c>
      <c r="H14" s="76">
        <f t="shared" si="3"/>
        <v>188.65552687051468</v>
      </c>
      <c r="I14" s="261">
        <f t="shared" si="4"/>
        <v>7.5735378422105306</v>
      </c>
      <c r="J14" s="261">
        <f t="shared" si="5"/>
        <v>14.335698213958896</v>
      </c>
      <c r="K14" s="259">
        <f>'CD Ratio_2'!C14+'CD Ratio_2'!D14+'CD Ratio_2'!E14</f>
        <v>168884</v>
      </c>
      <c r="L14" s="259">
        <f t="shared" si="0"/>
        <v>0</v>
      </c>
      <c r="M14" s="259">
        <f>'CD Ratio_2'!F14+'CD Ratio_2'!G14+'CD Ratio_2'!H14</f>
        <v>318609</v>
      </c>
      <c r="N14" s="259">
        <f t="shared" si="1"/>
        <v>0</v>
      </c>
      <c r="O14" s="391">
        <f t="shared" si="6"/>
        <v>435655</v>
      </c>
      <c r="P14" s="391">
        <f t="shared" si="7"/>
        <v>487493</v>
      </c>
      <c r="Q14" s="391">
        <f t="shared" si="8"/>
        <v>51838</v>
      </c>
      <c r="R14" s="394">
        <f t="shared" si="9"/>
        <v>11.898864927522926</v>
      </c>
      <c r="S14" s="160"/>
      <c r="T14" s="160"/>
      <c r="U14" s="160"/>
      <c r="V14" s="160"/>
      <c r="W14" s="160"/>
      <c r="X14" s="160"/>
    </row>
    <row r="15" spans="1:24" ht="15" customHeight="1" x14ac:dyDescent="0.2">
      <c r="A15" s="72">
        <v>10</v>
      </c>
      <c r="B15" s="73" t="s">
        <v>50</v>
      </c>
      <c r="C15" s="74">
        <v>267716</v>
      </c>
      <c r="D15" s="257">
        <v>259168.29</v>
      </c>
      <c r="E15" s="74">
        <v>179901</v>
      </c>
      <c r="F15" s="258">
        <v>193733.15</v>
      </c>
      <c r="G15" s="76">
        <f t="shared" si="2"/>
        <v>67.198449102780557</v>
      </c>
      <c r="H15" s="76">
        <f t="shared" si="3"/>
        <v>74.751872615280206</v>
      </c>
      <c r="I15" s="261">
        <f t="shared" si="4"/>
        <v>-3.1928274738902389</v>
      </c>
      <c r="J15" s="261">
        <f t="shared" si="5"/>
        <v>7.6887565939044222</v>
      </c>
      <c r="K15" s="259">
        <f>'CD Ratio_2'!C15+'CD Ratio_2'!D15+'CD Ratio_2'!E15</f>
        <v>259168.29</v>
      </c>
      <c r="L15" s="259">
        <f t="shared" si="0"/>
        <v>0</v>
      </c>
      <c r="M15" s="259">
        <f>'CD Ratio_2'!F15+'CD Ratio_2'!G15+'CD Ratio_2'!H15</f>
        <v>193733.15000000002</v>
      </c>
      <c r="N15" s="259">
        <f t="shared" si="1"/>
        <v>0</v>
      </c>
      <c r="O15" s="391">
        <f t="shared" si="6"/>
        <v>447617</v>
      </c>
      <c r="P15" s="391">
        <f t="shared" si="7"/>
        <v>452901.44</v>
      </c>
      <c r="Q15" s="391">
        <f t="shared" si="8"/>
        <v>5284.4400000000023</v>
      </c>
      <c r="R15" s="394">
        <f t="shared" si="9"/>
        <v>1.1805717834666696</v>
      </c>
      <c r="S15" s="160"/>
      <c r="T15" s="160"/>
      <c r="U15" s="160"/>
      <c r="V15" s="160"/>
      <c r="W15" s="160"/>
      <c r="X15" s="160"/>
    </row>
    <row r="16" spans="1:24" ht="15" customHeight="1" x14ac:dyDescent="0.2">
      <c r="A16" s="72">
        <v>11</v>
      </c>
      <c r="B16" s="73" t="s">
        <v>82</v>
      </c>
      <c r="C16" s="74">
        <v>573145</v>
      </c>
      <c r="D16" s="257">
        <v>626960</v>
      </c>
      <c r="E16" s="74">
        <v>400527</v>
      </c>
      <c r="F16" s="258">
        <v>373637</v>
      </c>
      <c r="G16" s="76">
        <f t="shared" si="2"/>
        <v>69.882315993335027</v>
      </c>
      <c r="H16" s="76">
        <f t="shared" si="3"/>
        <v>59.595029985964018</v>
      </c>
      <c r="I16" s="261">
        <f t="shared" si="4"/>
        <v>9.389421525093999</v>
      </c>
      <c r="J16" s="261">
        <f t="shared" si="5"/>
        <v>-6.7136547598538927</v>
      </c>
      <c r="K16" s="259">
        <f>'CD Ratio_2'!C16+'CD Ratio_2'!D16+'CD Ratio_2'!E16</f>
        <v>626960</v>
      </c>
      <c r="L16" s="259">
        <f t="shared" si="0"/>
        <v>0</v>
      </c>
      <c r="M16" s="259">
        <f>'CD Ratio_2'!F16+'CD Ratio_2'!G16+'CD Ratio_2'!H16</f>
        <v>373637</v>
      </c>
      <c r="N16" s="259">
        <f t="shared" si="1"/>
        <v>0</v>
      </c>
      <c r="O16" s="391">
        <f t="shared" si="6"/>
        <v>973672</v>
      </c>
      <c r="P16" s="391">
        <f t="shared" si="7"/>
        <v>1000597</v>
      </c>
      <c r="Q16" s="391">
        <f t="shared" si="8"/>
        <v>26925</v>
      </c>
      <c r="R16" s="394">
        <f t="shared" si="9"/>
        <v>2.7653049486890864</v>
      </c>
      <c r="S16" s="160"/>
      <c r="T16" s="160"/>
      <c r="U16" s="160"/>
      <c r="V16" s="160"/>
      <c r="W16" s="160"/>
      <c r="X16" s="160"/>
    </row>
    <row r="17" spans="1:24" ht="15" customHeight="1" x14ac:dyDescent="0.2">
      <c r="A17" s="72">
        <v>12</v>
      </c>
      <c r="B17" s="73" t="s">
        <v>63</v>
      </c>
      <c r="C17" s="81">
        <v>78710.850000000006</v>
      </c>
      <c r="D17" s="257">
        <v>81410.28</v>
      </c>
      <c r="E17" s="81">
        <v>69684.91</v>
      </c>
      <c r="F17" s="258">
        <v>33209.68</v>
      </c>
      <c r="G17" s="76">
        <f t="shared" si="2"/>
        <v>88.53278804637479</v>
      </c>
      <c r="H17" s="76">
        <f t="shared" si="3"/>
        <v>40.792980935577177</v>
      </c>
      <c r="I17" s="261">
        <f t="shared" si="4"/>
        <v>3.4295525966242173</v>
      </c>
      <c r="J17" s="261">
        <f t="shared" si="5"/>
        <v>-52.343082598513803</v>
      </c>
      <c r="K17" s="259">
        <f>'CD Ratio_2'!C17+'CD Ratio_2'!D17+'CD Ratio_2'!E17</f>
        <v>81410.28</v>
      </c>
      <c r="L17" s="259">
        <f t="shared" si="0"/>
        <v>0</v>
      </c>
      <c r="M17" s="259">
        <f>'CD Ratio_2'!F17+'CD Ratio_2'!G17+'CD Ratio_2'!H17</f>
        <v>33209.68</v>
      </c>
      <c r="N17" s="259">
        <f t="shared" si="1"/>
        <v>0</v>
      </c>
      <c r="O17" s="391">
        <f t="shared" si="6"/>
        <v>148395.76</v>
      </c>
      <c r="P17" s="391">
        <f t="shared" si="7"/>
        <v>114619.95999999999</v>
      </c>
      <c r="Q17" s="391">
        <f t="shared" si="8"/>
        <v>-33775.800000000017</v>
      </c>
      <c r="R17" s="394">
        <f t="shared" si="9"/>
        <v>-22.760623349346382</v>
      </c>
      <c r="S17" s="160"/>
      <c r="T17" s="160"/>
      <c r="U17" s="160"/>
      <c r="V17" s="160"/>
      <c r="W17" s="160"/>
      <c r="X17" s="160"/>
    </row>
    <row r="18" spans="1:24" ht="15" customHeight="1" x14ac:dyDescent="0.2">
      <c r="A18" s="72">
        <v>13</v>
      </c>
      <c r="B18" s="73" t="s">
        <v>64</v>
      </c>
      <c r="C18" s="81">
        <v>174667</v>
      </c>
      <c r="D18" s="257">
        <v>179485</v>
      </c>
      <c r="E18" s="81">
        <v>94974</v>
      </c>
      <c r="F18" s="258">
        <v>97465</v>
      </c>
      <c r="G18" s="76">
        <f t="shared" si="2"/>
        <v>54.374323713122685</v>
      </c>
      <c r="H18" s="76">
        <f t="shared" si="3"/>
        <v>54.302587959996657</v>
      </c>
      <c r="I18" s="261">
        <f t="shared" si="4"/>
        <v>2.7583916824586212</v>
      </c>
      <c r="J18" s="261">
        <f t="shared" si="5"/>
        <v>2.6228230884242003</v>
      </c>
      <c r="K18" s="259">
        <f>'CD Ratio_2'!C18+'CD Ratio_2'!D18+'CD Ratio_2'!E18</f>
        <v>179485</v>
      </c>
      <c r="L18" s="259">
        <f t="shared" si="0"/>
        <v>0</v>
      </c>
      <c r="M18" s="259">
        <f>'CD Ratio_2'!F18+'CD Ratio_2'!G18+'CD Ratio_2'!H18</f>
        <v>97465</v>
      </c>
      <c r="N18" s="259">
        <f t="shared" si="1"/>
        <v>0</v>
      </c>
      <c r="O18" s="391">
        <f t="shared" si="6"/>
        <v>269641</v>
      </c>
      <c r="P18" s="391">
        <f t="shared" si="7"/>
        <v>276950</v>
      </c>
      <c r="Q18" s="391">
        <f t="shared" si="8"/>
        <v>7309</v>
      </c>
      <c r="R18" s="394">
        <f t="shared" si="9"/>
        <v>2.7106411858730683</v>
      </c>
      <c r="S18" s="160"/>
      <c r="T18" s="160"/>
      <c r="U18" s="160"/>
      <c r="V18" s="160"/>
      <c r="W18" s="160"/>
      <c r="X18" s="160"/>
    </row>
    <row r="19" spans="1:24" ht="15" customHeight="1" x14ac:dyDescent="0.2">
      <c r="A19" s="72">
        <v>14</v>
      </c>
      <c r="B19" s="73" t="s">
        <v>241</v>
      </c>
      <c r="C19" s="81">
        <v>444719</v>
      </c>
      <c r="D19" s="257">
        <v>441596</v>
      </c>
      <c r="E19" s="81">
        <v>212999</v>
      </c>
      <c r="F19" s="258">
        <v>207786</v>
      </c>
      <c r="G19" s="76">
        <f t="shared" si="2"/>
        <v>47.895187747768816</v>
      </c>
      <c r="H19" s="76">
        <f t="shared" si="3"/>
        <v>47.053415338907058</v>
      </c>
      <c r="I19" s="261">
        <f t="shared" si="4"/>
        <v>-0.70224119050456579</v>
      </c>
      <c r="J19" s="261">
        <f t="shared" si="5"/>
        <v>-2.4474293306541344</v>
      </c>
      <c r="K19" s="259">
        <f>'CD Ratio_2'!C19+'CD Ratio_2'!D19+'CD Ratio_2'!E19</f>
        <v>441596</v>
      </c>
      <c r="L19" s="259">
        <f t="shared" si="0"/>
        <v>0</v>
      </c>
      <c r="M19" s="259">
        <f>'CD Ratio_2'!F19+'CD Ratio_2'!G19+'CD Ratio_2'!H19</f>
        <v>207786</v>
      </c>
      <c r="N19" s="259">
        <f t="shared" si="1"/>
        <v>0</v>
      </c>
      <c r="O19" s="391">
        <f t="shared" si="6"/>
        <v>657718</v>
      </c>
      <c r="P19" s="391">
        <f t="shared" si="7"/>
        <v>649382</v>
      </c>
      <c r="Q19" s="391">
        <f t="shared" si="8"/>
        <v>-8336</v>
      </c>
      <c r="R19" s="394">
        <f t="shared" si="9"/>
        <v>-1.267412477688006</v>
      </c>
      <c r="S19" s="160"/>
      <c r="T19" s="160"/>
      <c r="U19" s="160"/>
      <c r="V19" s="160"/>
      <c r="W19" s="160"/>
      <c r="X19" s="160"/>
    </row>
    <row r="20" spans="1:24" ht="15" customHeight="1" x14ac:dyDescent="0.2">
      <c r="A20" s="72">
        <v>15</v>
      </c>
      <c r="B20" s="73" t="s">
        <v>84</v>
      </c>
      <c r="C20" s="81">
        <v>136362</v>
      </c>
      <c r="D20" s="257">
        <v>141487</v>
      </c>
      <c r="E20" s="81">
        <v>63567</v>
      </c>
      <c r="F20" s="258">
        <v>65307</v>
      </c>
      <c r="G20" s="76">
        <f t="shared" si="2"/>
        <v>46.616359396312752</v>
      </c>
      <c r="H20" s="76">
        <f t="shared" si="3"/>
        <v>46.157597517793157</v>
      </c>
      <c r="I20" s="261">
        <f t="shared" si="4"/>
        <v>3.7583784338745398</v>
      </c>
      <c r="J20" s="261">
        <f t="shared" si="5"/>
        <v>2.7372693378639861</v>
      </c>
      <c r="K20" s="259">
        <f>'CD Ratio_2'!C20+'CD Ratio_2'!D20+'CD Ratio_2'!E20</f>
        <v>141487</v>
      </c>
      <c r="L20" s="259">
        <f t="shared" si="0"/>
        <v>0</v>
      </c>
      <c r="M20" s="259">
        <f>'CD Ratio_2'!F20+'CD Ratio_2'!G20+'CD Ratio_2'!H20</f>
        <v>65307</v>
      </c>
      <c r="N20" s="259">
        <f t="shared" si="1"/>
        <v>0</v>
      </c>
      <c r="O20" s="391">
        <f t="shared" si="6"/>
        <v>199929</v>
      </c>
      <c r="P20" s="391">
        <f t="shared" si="7"/>
        <v>206794</v>
      </c>
      <c r="Q20" s="391">
        <f t="shared" si="8"/>
        <v>6865</v>
      </c>
      <c r="R20" s="394">
        <f t="shared" si="9"/>
        <v>3.4337189702344331</v>
      </c>
      <c r="S20" s="160"/>
      <c r="T20" s="160"/>
      <c r="U20" s="160"/>
      <c r="V20" s="160"/>
      <c r="W20" s="160"/>
      <c r="X20" s="160"/>
    </row>
    <row r="21" spans="1:24" ht="15" customHeight="1" x14ac:dyDescent="0.2">
      <c r="A21" s="72">
        <v>16</v>
      </c>
      <c r="B21" s="73" t="s">
        <v>65</v>
      </c>
      <c r="C21" s="81">
        <v>1778921</v>
      </c>
      <c r="D21" s="257">
        <v>1837510</v>
      </c>
      <c r="E21" s="81">
        <v>1299950</v>
      </c>
      <c r="F21" s="258">
        <v>1333561</v>
      </c>
      <c r="G21" s="76">
        <f t="shared" si="2"/>
        <v>73.075195582041019</v>
      </c>
      <c r="H21" s="76">
        <f t="shared" si="3"/>
        <v>72.574353336852582</v>
      </c>
      <c r="I21" s="261">
        <f t="shared" si="4"/>
        <v>3.2935133150938123</v>
      </c>
      <c r="J21" s="261">
        <f t="shared" si="5"/>
        <v>2.585560983114735</v>
      </c>
      <c r="K21" s="259">
        <f>'CD Ratio_2'!C21+'CD Ratio_2'!D21+'CD Ratio_2'!E21</f>
        <v>1837510</v>
      </c>
      <c r="L21" s="259">
        <f t="shared" si="0"/>
        <v>0</v>
      </c>
      <c r="M21" s="259">
        <f>'CD Ratio_2'!F21+'CD Ratio_2'!G21+'CD Ratio_2'!H21</f>
        <v>1333561</v>
      </c>
      <c r="N21" s="259">
        <f t="shared" si="1"/>
        <v>0</v>
      </c>
      <c r="O21" s="391">
        <f t="shared" si="6"/>
        <v>3078871</v>
      </c>
      <c r="P21" s="391">
        <f t="shared" si="7"/>
        <v>3171071</v>
      </c>
      <c r="Q21" s="391">
        <f t="shared" si="8"/>
        <v>92200</v>
      </c>
      <c r="R21" s="394">
        <f t="shared" si="9"/>
        <v>2.9946041909518133</v>
      </c>
      <c r="S21" s="160"/>
      <c r="T21" s="160"/>
      <c r="U21" s="160"/>
      <c r="V21" s="160"/>
      <c r="W21" s="160"/>
      <c r="X21" s="160"/>
    </row>
    <row r="22" spans="1:24" ht="15" customHeight="1" x14ac:dyDescent="0.2">
      <c r="A22" s="72">
        <v>17</v>
      </c>
      <c r="B22" s="73" t="s">
        <v>70</v>
      </c>
      <c r="C22" s="80">
        <v>32137</v>
      </c>
      <c r="D22" s="257">
        <v>30552</v>
      </c>
      <c r="E22" s="80">
        <v>34809</v>
      </c>
      <c r="F22" s="258">
        <v>34177</v>
      </c>
      <c r="G22" s="76">
        <f t="shared" si="2"/>
        <v>108.31440395805458</v>
      </c>
      <c r="H22" s="76">
        <f t="shared" si="3"/>
        <v>111.86501702016234</v>
      </c>
      <c r="I22" s="261">
        <f t="shared" si="4"/>
        <v>-4.9320098329028843</v>
      </c>
      <c r="J22" s="261">
        <f t="shared" si="5"/>
        <v>-1.8156223965066505</v>
      </c>
      <c r="K22" s="259">
        <f>'CD Ratio_2'!C22+'CD Ratio_2'!D22+'CD Ratio_2'!E22</f>
        <v>30552</v>
      </c>
      <c r="L22" s="259">
        <f t="shared" si="0"/>
        <v>0</v>
      </c>
      <c r="M22" s="259">
        <f>'CD Ratio_2'!F22+'CD Ratio_2'!G22+'CD Ratio_2'!H22</f>
        <v>34177</v>
      </c>
      <c r="N22" s="259">
        <f t="shared" si="1"/>
        <v>0</v>
      </c>
      <c r="O22" s="391">
        <f t="shared" si="6"/>
        <v>66946</v>
      </c>
      <c r="P22" s="391">
        <f t="shared" si="7"/>
        <v>64729</v>
      </c>
      <c r="Q22" s="391">
        <f t="shared" si="8"/>
        <v>-2217</v>
      </c>
      <c r="R22" s="394">
        <f t="shared" si="9"/>
        <v>-3.3116242942072716</v>
      </c>
      <c r="S22" s="160"/>
      <c r="T22" s="160"/>
      <c r="U22" s="160"/>
      <c r="V22" s="160"/>
      <c r="W22" s="160"/>
      <c r="X22" s="160"/>
    </row>
    <row r="23" spans="1:24" ht="15" customHeight="1" x14ac:dyDescent="0.2">
      <c r="A23" s="72">
        <v>18</v>
      </c>
      <c r="B23" s="73" t="s">
        <v>85</v>
      </c>
      <c r="C23" s="80">
        <v>18258</v>
      </c>
      <c r="D23" s="257">
        <v>20548</v>
      </c>
      <c r="E23" s="80">
        <v>61150</v>
      </c>
      <c r="F23" s="258">
        <v>39596</v>
      </c>
      <c r="G23" s="76">
        <f t="shared" si="2"/>
        <v>334.9216781684741</v>
      </c>
      <c r="H23" s="76">
        <f t="shared" si="3"/>
        <v>192.70001946661475</v>
      </c>
      <c r="I23" s="261">
        <f t="shared" si="4"/>
        <v>12.542447146456349</v>
      </c>
      <c r="J23" s="261">
        <f t="shared" si="5"/>
        <v>-35.247751430907606</v>
      </c>
      <c r="K23" s="259">
        <f>'CD Ratio_2'!C23+'CD Ratio_2'!D23+'CD Ratio_2'!E23</f>
        <v>20548</v>
      </c>
      <c r="L23" s="259">
        <f t="shared" si="0"/>
        <v>0</v>
      </c>
      <c r="M23" s="259">
        <f>'CD Ratio_2'!F23+'CD Ratio_2'!G23+'CD Ratio_2'!H23</f>
        <v>39596</v>
      </c>
      <c r="N23" s="259">
        <f t="shared" si="1"/>
        <v>0</v>
      </c>
      <c r="O23" s="391">
        <f t="shared" si="6"/>
        <v>79408</v>
      </c>
      <c r="P23" s="391">
        <f t="shared" si="7"/>
        <v>60144</v>
      </c>
      <c r="Q23" s="391">
        <f t="shared" si="8"/>
        <v>-19264</v>
      </c>
      <c r="R23" s="394">
        <f t="shared" si="9"/>
        <v>-24.259520451339917</v>
      </c>
      <c r="S23" s="160"/>
      <c r="T23" s="160"/>
      <c r="U23" s="160"/>
      <c r="V23" s="160"/>
      <c r="W23" s="160"/>
      <c r="X23" s="160"/>
    </row>
    <row r="24" spans="1:24" ht="15" customHeight="1" x14ac:dyDescent="0.2">
      <c r="A24" s="72">
        <v>19</v>
      </c>
      <c r="B24" s="73" t="s">
        <v>86</v>
      </c>
      <c r="C24" s="80">
        <v>52389</v>
      </c>
      <c r="D24" s="257">
        <v>53411</v>
      </c>
      <c r="E24" s="80">
        <v>97032</v>
      </c>
      <c r="F24" s="258">
        <v>106559</v>
      </c>
      <c r="G24" s="76">
        <f t="shared" si="2"/>
        <v>185.2144534157934</v>
      </c>
      <c r="H24" s="76">
        <f t="shared" si="3"/>
        <v>199.50759206904945</v>
      </c>
      <c r="I24" s="261">
        <f t="shared" si="4"/>
        <v>1.9507911966252458</v>
      </c>
      <c r="J24" s="261">
        <f t="shared" si="5"/>
        <v>9.8184104213043124</v>
      </c>
      <c r="K24" s="259">
        <f>'CD Ratio_2'!C24+'CD Ratio_2'!D24+'CD Ratio_2'!E24</f>
        <v>53411</v>
      </c>
      <c r="L24" s="259">
        <f t="shared" si="0"/>
        <v>0</v>
      </c>
      <c r="M24" s="259">
        <f>'CD Ratio_2'!F24+'CD Ratio_2'!G24+'CD Ratio_2'!H24</f>
        <v>106559</v>
      </c>
      <c r="N24" s="259">
        <f t="shared" si="1"/>
        <v>0</v>
      </c>
      <c r="O24" s="391">
        <f t="shared" si="6"/>
        <v>149421</v>
      </c>
      <c r="P24" s="391">
        <f t="shared" si="7"/>
        <v>159970</v>
      </c>
      <c r="Q24" s="391">
        <f t="shared" si="8"/>
        <v>10549</v>
      </c>
      <c r="R24" s="394">
        <f t="shared" si="9"/>
        <v>7.059917949953487</v>
      </c>
      <c r="S24" s="160"/>
      <c r="T24" s="160"/>
      <c r="U24" s="160"/>
      <c r="V24" s="160"/>
      <c r="W24" s="160"/>
      <c r="X24" s="160"/>
    </row>
    <row r="25" spans="1:24" ht="15" customHeight="1" x14ac:dyDescent="0.2">
      <c r="A25" s="72">
        <v>20</v>
      </c>
      <c r="B25" s="73" t="s">
        <v>87</v>
      </c>
      <c r="C25" s="81">
        <v>14425</v>
      </c>
      <c r="D25" s="257">
        <v>24699</v>
      </c>
      <c r="E25" s="81">
        <v>7917</v>
      </c>
      <c r="F25" s="258">
        <v>46163</v>
      </c>
      <c r="G25" s="76">
        <f t="shared" si="2"/>
        <v>54.883882149046791</v>
      </c>
      <c r="H25" s="76">
        <f t="shared" si="3"/>
        <v>186.90230373699339</v>
      </c>
      <c r="I25" s="261">
        <f t="shared" si="4"/>
        <v>71.223570190641254</v>
      </c>
      <c r="J25" s="261">
        <f t="shared" si="5"/>
        <v>483.08702791461411</v>
      </c>
      <c r="K25" s="259">
        <f>'CD Ratio_2'!C25+'CD Ratio_2'!D25+'CD Ratio_2'!E25</f>
        <v>24699</v>
      </c>
      <c r="L25" s="259">
        <f t="shared" si="0"/>
        <v>0</v>
      </c>
      <c r="M25" s="259">
        <f>'CD Ratio_2'!F25+'CD Ratio_2'!G25+'CD Ratio_2'!H25</f>
        <v>46163</v>
      </c>
      <c r="N25" s="259">
        <f t="shared" si="1"/>
        <v>0</v>
      </c>
      <c r="O25" s="391">
        <f t="shared" si="6"/>
        <v>22342</v>
      </c>
      <c r="P25" s="391">
        <f t="shared" si="7"/>
        <v>70862</v>
      </c>
      <c r="Q25" s="391">
        <f t="shared" si="8"/>
        <v>48520</v>
      </c>
      <c r="R25" s="394">
        <f t="shared" si="9"/>
        <v>217.16945662877092</v>
      </c>
      <c r="S25" s="160"/>
      <c r="T25" s="160"/>
      <c r="U25" s="160"/>
      <c r="V25" s="160"/>
      <c r="W25" s="160"/>
      <c r="X25" s="160"/>
    </row>
    <row r="26" spans="1:24" ht="15" customHeight="1" x14ac:dyDescent="0.2">
      <c r="A26" s="72">
        <v>21</v>
      </c>
      <c r="B26" s="73" t="s">
        <v>88</v>
      </c>
      <c r="C26" s="80">
        <v>58579</v>
      </c>
      <c r="D26" s="257">
        <v>62837</v>
      </c>
      <c r="E26" s="80">
        <v>81765</v>
      </c>
      <c r="F26" s="258">
        <v>79593</v>
      </c>
      <c r="G26" s="76">
        <f t="shared" si="2"/>
        <v>139.58073712422541</v>
      </c>
      <c r="H26" s="76">
        <f t="shared" si="3"/>
        <v>126.6658179098302</v>
      </c>
      <c r="I26" s="261">
        <f t="shared" si="4"/>
        <v>7.2688164700660645</v>
      </c>
      <c r="J26" s="261">
        <f t="shared" si="5"/>
        <v>-2.6563933223261786</v>
      </c>
      <c r="K26" s="259">
        <f>'CD Ratio_2'!C26+'CD Ratio_2'!D26+'CD Ratio_2'!E26</f>
        <v>62837</v>
      </c>
      <c r="L26" s="259">
        <f t="shared" si="0"/>
        <v>0</v>
      </c>
      <c r="M26" s="259">
        <f>'CD Ratio_2'!F26+'CD Ratio_2'!G26+'CD Ratio_2'!H26</f>
        <v>79593</v>
      </c>
      <c r="N26" s="259">
        <f t="shared" si="1"/>
        <v>0</v>
      </c>
      <c r="O26" s="391">
        <f t="shared" si="6"/>
        <v>140344</v>
      </c>
      <c r="P26" s="391">
        <f t="shared" si="7"/>
        <v>142430</v>
      </c>
      <c r="Q26" s="391">
        <f t="shared" si="8"/>
        <v>2086</v>
      </c>
      <c r="R26" s="394">
        <f t="shared" si="9"/>
        <v>1.486347831043721</v>
      </c>
      <c r="S26" s="160"/>
      <c r="T26" s="160"/>
      <c r="U26" s="160"/>
      <c r="V26" s="160"/>
      <c r="W26" s="160"/>
      <c r="X26" s="160"/>
    </row>
    <row r="27" spans="1:24" ht="15" customHeight="1" x14ac:dyDescent="0.2">
      <c r="A27" s="72">
        <v>22</v>
      </c>
      <c r="B27" s="73" t="s">
        <v>71</v>
      </c>
      <c r="C27" s="75">
        <v>9019111</v>
      </c>
      <c r="D27" s="257">
        <v>9407851</v>
      </c>
      <c r="E27" s="75">
        <v>5640378</v>
      </c>
      <c r="F27" s="258">
        <v>5827944</v>
      </c>
      <c r="G27" s="76">
        <f t="shared" si="2"/>
        <v>62.538070548194831</v>
      </c>
      <c r="H27" s="76">
        <f t="shared" si="3"/>
        <v>61.947664774877921</v>
      </c>
      <c r="I27" s="261">
        <f t="shared" si="4"/>
        <v>4.3101809036389502</v>
      </c>
      <c r="J27" s="261">
        <f t="shared" si="5"/>
        <v>3.3254154242853935</v>
      </c>
      <c r="K27" s="259">
        <f>'CD Ratio_2'!C27+'CD Ratio_2'!D27+'CD Ratio_2'!E27</f>
        <v>9407851</v>
      </c>
      <c r="L27" s="259">
        <f t="shared" si="0"/>
        <v>0</v>
      </c>
      <c r="M27" s="259">
        <f>'CD Ratio_2'!F27+'CD Ratio_2'!G27+'CD Ratio_2'!H27</f>
        <v>5827944</v>
      </c>
      <c r="N27" s="259">
        <f t="shared" si="1"/>
        <v>0</v>
      </c>
      <c r="O27" s="391">
        <f t="shared" si="6"/>
        <v>14659489</v>
      </c>
      <c r="P27" s="391">
        <f t="shared" si="7"/>
        <v>15235795</v>
      </c>
      <c r="Q27" s="391">
        <f t="shared" si="8"/>
        <v>576306</v>
      </c>
      <c r="R27" s="394">
        <f t="shared" si="9"/>
        <v>3.9312830072044123</v>
      </c>
      <c r="S27" s="160"/>
      <c r="T27" s="160"/>
      <c r="U27" s="160"/>
      <c r="V27" s="160"/>
      <c r="W27" s="160"/>
      <c r="X27" s="160"/>
    </row>
    <row r="28" spans="1:24" ht="15" customHeight="1" x14ac:dyDescent="0.2">
      <c r="A28" s="72">
        <v>23</v>
      </c>
      <c r="B28" s="73" t="s">
        <v>66</v>
      </c>
      <c r="C28" s="81">
        <v>301452</v>
      </c>
      <c r="D28" s="257">
        <v>290940.59000000003</v>
      </c>
      <c r="E28" s="81">
        <v>139602</v>
      </c>
      <c r="F28" s="258">
        <v>147699.48000000001</v>
      </c>
      <c r="G28" s="76">
        <f t="shared" si="2"/>
        <v>46.309860276262889</v>
      </c>
      <c r="H28" s="76">
        <f t="shared" si="3"/>
        <v>50.766199381117637</v>
      </c>
      <c r="I28" s="261">
        <f t="shared" si="4"/>
        <v>-3.4869266085479529</v>
      </c>
      <c r="J28" s="261">
        <f t="shared" si="5"/>
        <v>5.8004040056732791</v>
      </c>
      <c r="K28" s="259">
        <f>'CD Ratio_2'!C28+'CD Ratio_2'!D28+'CD Ratio_2'!E28</f>
        <v>290940.58999999997</v>
      </c>
      <c r="L28" s="259">
        <f t="shared" si="0"/>
        <v>0</v>
      </c>
      <c r="M28" s="259">
        <f>'CD Ratio_2'!F28+'CD Ratio_2'!G28+'CD Ratio_2'!H28</f>
        <v>147699.48000000001</v>
      </c>
      <c r="N28" s="259">
        <f t="shared" si="1"/>
        <v>0</v>
      </c>
      <c r="O28" s="391">
        <f t="shared" si="6"/>
        <v>441054</v>
      </c>
      <c r="P28" s="391">
        <f t="shared" si="7"/>
        <v>438640.07000000007</v>
      </c>
      <c r="Q28" s="391">
        <f t="shared" si="8"/>
        <v>-2413.9299999999348</v>
      </c>
      <c r="R28" s="394">
        <f t="shared" si="9"/>
        <v>-0.54730939975602422</v>
      </c>
      <c r="S28" s="160"/>
      <c r="T28" s="160"/>
      <c r="U28" s="160"/>
      <c r="V28" s="160"/>
      <c r="W28" s="160"/>
      <c r="X28" s="160"/>
    </row>
    <row r="29" spans="1:24" ht="15" customHeight="1" x14ac:dyDescent="0.2">
      <c r="A29" s="72">
        <v>24</v>
      </c>
      <c r="B29" s="73" t="s">
        <v>214</v>
      </c>
      <c r="C29" s="81">
        <v>600008</v>
      </c>
      <c r="D29" s="257">
        <v>649853.07999999996</v>
      </c>
      <c r="E29" s="81">
        <v>441727</v>
      </c>
      <c r="F29" s="258">
        <v>442137.96</v>
      </c>
      <c r="G29" s="76">
        <f t="shared" si="2"/>
        <v>73.620185064199148</v>
      </c>
      <c r="H29" s="76">
        <f t="shared" si="3"/>
        <v>68.036602981092287</v>
      </c>
      <c r="I29" s="261">
        <f t="shared" si="4"/>
        <v>8.3074025679657542</v>
      </c>
      <c r="J29" s="261">
        <f t="shared" si="5"/>
        <v>9.3034838259834912E-2</v>
      </c>
      <c r="K29" s="259">
        <f>'CD Ratio_2'!C29+'CD Ratio_2'!D29+'CD Ratio_2'!E29</f>
        <v>649853.07999999996</v>
      </c>
      <c r="L29" s="259">
        <f t="shared" si="0"/>
        <v>0</v>
      </c>
      <c r="M29" s="259">
        <f>'CD Ratio_2'!F29+'CD Ratio_2'!G29+'CD Ratio_2'!H29</f>
        <v>442137.95999999996</v>
      </c>
      <c r="N29" s="259">
        <f t="shared" si="1"/>
        <v>0</v>
      </c>
      <c r="O29" s="391">
        <f t="shared" si="6"/>
        <v>1041735</v>
      </c>
      <c r="P29" s="391">
        <f t="shared" si="7"/>
        <v>1091991.04</v>
      </c>
      <c r="Q29" s="391">
        <f t="shared" si="8"/>
        <v>50256.040000000037</v>
      </c>
      <c r="R29" s="394">
        <f t="shared" si="9"/>
        <v>4.8242633683230416</v>
      </c>
      <c r="S29" s="160"/>
      <c r="T29" s="160"/>
      <c r="U29" s="160"/>
      <c r="V29" s="160"/>
      <c r="W29" s="160"/>
      <c r="X29" s="160"/>
    </row>
    <row r="30" spans="1:24" ht="15" customHeight="1" x14ac:dyDescent="0.2">
      <c r="A30" s="72">
        <v>25</v>
      </c>
      <c r="B30" s="73" t="s">
        <v>67</v>
      </c>
      <c r="C30" s="75">
        <v>1983832.59</v>
      </c>
      <c r="D30" s="257">
        <v>2060907.11</v>
      </c>
      <c r="E30" s="75">
        <v>771979.34</v>
      </c>
      <c r="F30" s="258">
        <v>842977.7</v>
      </c>
      <c r="G30" s="76">
        <f t="shared" si="2"/>
        <v>38.913532517378393</v>
      </c>
      <c r="H30" s="76">
        <f t="shared" si="3"/>
        <v>40.903236051235709</v>
      </c>
      <c r="I30" s="261">
        <f t="shared" si="4"/>
        <v>3.8851322631008909</v>
      </c>
      <c r="J30" s="261">
        <f t="shared" si="5"/>
        <v>9.1969248814352973</v>
      </c>
      <c r="K30" s="259">
        <f>'CD Ratio_2'!C30+'CD Ratio_2'!D30+'CD Ratio_2'!E30</f>
        <v>2060907.11</v>
      </c>
      <c r="L30" s="259">
        <f t="shared" si="0"/>
        <v>0</v>
      </c>
      <c r="M30" s="259">
        <f>'CD Ratio_2'!F30+'CD Ratio_2'!G30+'CD Ratio_2'!H30</f>
        <v>842977.7</v>
      </c>
      <c r="N30" s="259">
        <f t="shared" si="1"/>
        <v>0</v>
      </c>
      <c r="O30" s="391">
        <f t="shared" si="6"/>
        <v>2755811.93</v>
      </c>
      <c r="P30" s="391">
        <f t="shared" si="7"/>
        <v>2903884.81</v>
      </c>
      <c r="Q30" s="391">
        <f t="shared" si="8"/>
        <v>148072.87999999989</v>
      </c>
      <c r="R30" s="394">
        <f t="shared" si="9"/>
        <v>5.3731126710087169</v>
      </c>
      <c r="S30" s="160"/>
      <c r="T30" s="160"/>
      <c r="U30" s="160"/>
      <c r="V30" s="160"/>
      <c r="W30" s="160"/>
      <c r="X30" s="160"/>
    </row>
    <row r="31" spans="1:24" ht="15" customHeight="1" x14ac:dyDescent="0.2">
      <c r="A31" s="72">
        <v>26</v>
      </c>
      <c r="B31" s="73" t="s">
        <v>68</v>
      </c>
      <c r="C31" s="82">
        <v>26117</v>
      </c>
      <c r="D31" s="257">
        <v>26909</v>
      </c>
      <c r="E31" s="83">
        <v>32858</v>
      </c>
      <c r="F31" s="258">
        <v>25944</v>
      </c>
      <c r="G31" s="76">
        <f t="shared" si="2"/>
        <v>125.8107745912624</v>
      </c>
      <c r="H31" s="76">
        <f t="shared" si="3"/>
        <v>96.413839235943371</v>
      </c>
      <c r="I31" s="261">
        <f t="shared" si="4"/>
        <v>3.032507562124287</v>
      </c>
      <c r="J31" s="261">
        <f t="shared" si="5"/>
        <v>-21.042059772353763</v>
      </c>
      <c r="K31" s="259">
        <f>'CD Ratio_2'!C31+'CD Ratio_2'!D31+'CD Ratio_2'!E31</f>
        <v>26909</v>
      </c>
      <c r="L31" s="259">
        <f t="shared" si="0"/>
        <v>0</v>
      </c>
      <c r="M31" s="259">
        <f>'CD Ratio_2'!F31+'CD Ratio_2'!G31+'CD Ratio_2'!H31</f>
        <v>25944</v>
      </c>
      <c r="N31" s="259">
        <f t="shared" si="1"/>
        <v>0</v>
      </c>
      <c r="O31" s="391">
        <f t="shared" si="6"/>
        <v>58975</v>
      </c>
      <c r="P31" s="391">
        <f t="shared" si="7"/>
        <v>52853</v>
      </c>
      <c r="Q31" s="391">
        <f t="shared" si="8"/>
        <v>-6122</v>
      </c>
      <c r="R31" s="394">
        <f t="shared" si="9"/>
        <v>-10.38066977532853</v>
      </c>
      <c r="S31" s="160"/>
      <c r="T31" s="160"/>
      <c r="U31" s="160"/>
      <c r="V31" s="160"/>
      <c r="W31" s="160"/>
      <c r="X31" s="160"/>
    </row>
    <row r="32" spans="1:24" ht="15" customHeight="1" x14ac:dyDescent="0.2">
      <c r="A32" s="72">
        <v>27</v>
      </c>
      <c r="B32" s="73" t="s">
        <v>51</v>
      </c>
      <c r="C32" s="81">
        <v>130052</v>
      </c>
      <c r="D32" s="257">
        <v>135719</v>
      </c>
      <c r="E32" s="81">
        <v>72014</v>
      </c>
      <c r="F32" s="258">
        <v>77777</v>
      </c>
      <c r="G32" s="76">
        <f t="shared" si="2"/>
        <v>55.373235321256111</v>
      </c>
      <c r="H32" s="76">
        <f t="shared" si="3"/>
        <v>57.30737774372048</v>
      </c>
      <c r="I32" s="261">
        <f t="shared" si="4"/>
        <v>4.3574877741211209</v>
      </c>
      <c r="J32" s="261">
        <f t="shared" si="5"/>
        <v>8.0026106034937659</v>
      </c>
      <c r="K32" s="259">
        <f>'CD Ratio_2'!C32+'CD Ratio_2'!D32+'CD Ratio_2'!E32</f>
        <v>135719</v>
      </c>
      <c r="L32" s="259">
        <f t="shared" si="0"/>
        <v>0</v>
      </c>
      <c r="M32" s="259">
        <f>'CD Ratio_2'!F32+'CD Ratio_2'!G32+'CD Ratio_2'!H32</f>
        <v>77777</v>
      </c>
      <c r="N32" s="259">
        <f t="shared" si="1"/>
        <v>0</v>
      </c>
      <c r="O32" s="391">
        <f t="shared" si="6"/>
        <v>202066</v>
      </c>
      <c r="P32" s="391">
        <f t="shared" si="7"/>
        <v>213496</v>
      </c>
      <c r="Q32" s="391">
        <f t="shared" si="8"/>
        <v>11430</v>
      </c>
      <c r="R32" s="394">
        <f t="shared" si="9"/>
        <v>5.656567656112359</v>
      </c>
      <c r="S32" s="160"/>
      <c r="T32" s="160"/>
      <c r="U32" s="160"/>
      <c r="V32" s="160"/>
      <c r="W32" s="160"/>
      <c r="X32" s="160"/>
    </row>
    <row r="33" spans="1:24" ht="15" customHeight="1" x14ac:dyDescent="0.2">
      <c r="A33" s="72"/>
      <c r="B33" s="84" t="s">
        <v>215</v>
      </c>
      <c r="C33" s="85">
        <f>SUM(C6:C32)</f>
        <v>23023858.440000001</v>
      </c>
      <c r="D33" s="85">
        <f t="shared" ref="D33:F33" si="10">SUM(D6:D32)</f>
        <v>24193678.359999996</v>
      </c>
      <c r="E33" s="85">
        <f t="shared" si="10"/>
        <v>15183184.25</v>
      </c>
      <c r="F33" s="85">
        <f t="shared" si="10"/>
        <v>15387974.490000002</v>
      </c>
      <c r="G33" s="86">
        <f t="shared" si="2"/>
        <v>65.945437814288439</v>
      </c>
      <c r="H33" s="86">
        <f t="shared" si="3"/>
        <v>63.603286201577845</v>
      </c>
      <c r="I33" s="261">
        <f t="shared" si="4"/>
        <v>5.0809030252185403</v>
      </c>
      <c r="J33" s="261">
        <f t="shared" si="5"/>
        <v>1.3487963830775622</v>
      </c>
      <c r="K33" s="259">
        <f>'CD Ratio_2'!C33+'CD Ratio_2'!D33+'CD Ratio_2'!E33</f>
        <v>24193678.57</v>
      </c>
      <c r="L33" s="259">
        <f t="shared" si="0"/>
        <v>-0.21000000461935997</v>
      </c>
      <c r="M33" s="259">
        <f>'CD Ratio_2'!F33+'CD Ratio_2'!G33+'CD Ratio_2'!H33</f>
        <v>15387974.49</v>
      </c>
      <c r="N33" s="259">
        <f t="shared" si="1"/>
        <v>0</v>
      </c>
      <c r="O33" s="391">
        <f t="shared" si="6"/>
        <v>38207042.689999998</v>
      </c>
      <c r="P33" s="391">
        <f t="shared" si="7"/>
        <v>39581652.849999994</v>
      </c>
      <c r="Q33" s="391">
        <f t="shared" si="8"/>
        <v>1374610.1599999964</v>
      </c>
      <c r="R33" s="394">
        <f t="shared" si="9"/>
        <v>3.5977926141867447</v>
      </c>
      <c r="S33" s="160"/>
      <c r="T33" s="160"/>
      <c r="U33" s="160"/>
      <c r="V33" s="160"/>
      <c r="W33" s="160"/>
      <c r="X33" s="160"/>
    </row>
    <row r="34" spans="1:24" ht="15" customHeight="1" x14ac:dyDescent="0.2">
      <c r="A34" s="72">
        <v>28</v>
      </c>
      <c r="B34" s="73" t="s">
        <v>48</v>
      </c>
      <c r="C34" s="87">
        <v>635149</v>
      </c>
      <c r="D34" s="257">
        <v>687710.73</v>
      </c>
      <c r="E34" s="87">
        <v>571972</v>
      </c>
      <c r="F34" s="258">
        <v>592252.67000000004</v>
      </c>
      <c r="G34" s="76">
        <f t="shared" si="2"/>
        <v>90.053200115248544</v>
      </c>
      <c r="H34" s="76">
        <f t="shared" si="3"/>
        <v>86.11944588969844</v>
      </c>
      <c r="I34" s="261">
        <f t="shared" si="4"/>
        <v>8.2754959859812391</v>
      </c>
      <c r="J34" s="261">
        <f t="shared" si="5"/>
        <v>3.5457452462708039</v>
      </c>
      <c r="K34" s="259">
        <f>'CD Ratio_2'!C34+'CD Ratio_2'!D34+'CD Ratio_2'!E34</f>
        <v>687710.73</v>
      </c>
      <c r="L34" s="259">
        <f t="shared" si="0"/>
        <v>0</v>
      </c>
      <c r="M34" s="259">
        <f>'CD Ratio_2'!F34+'CD Ratio_2'!G34+'CD Ratio_2'!H34</f>
        <v>592252.67000000004</v>
      </c>
      <c r="N34" s="259">
        <f t="shared" si="1"/>
        <v>0</v>
      </c>
      <c r="O34" s="391">
        <f t="shared" si="6"/>
        <v>1207121</v>
      </c>
      <c r="P34" s="391">
        <f t="shared" si="7"/>
        <v>1279963.3999999999</v>
      </c>
      <c r="Q34" s="391">
        <f t="shared" si="8"/>
        <v>72842.399999999907</v>
      </c>
      <c r="R34" s="394">
        <f t="shared" si="9"/>
        <v>6.0343909185574525</v>
      </c>
      <c r="S34" s="160"/>
      <c r="T34" s="160"/>
      <c r="U34" s="160"/>
      <c r="V34" s="160"/>
      <c r="W34" s="160"/>
      <c r="X34" s="160"/>
    </row>
    <row r="35" spans="1:24" ht="15" customHeight="1" x14ac:dyDescent="0.2">
      <c r="A35" s="72">
        <v>29</v>
      </c>
      <c r="B35" s="88" t="s">
        <v>216</v>
      </c>
      <c r="C35" s="79">
        <v>12810</v>
      </c>
      <c r="D35" s="257">
        <v>18394</v>
      </c>
      <c r="E35" s="79">
        <v>41468</v>
      </c>
      <c r="F35" s="258">
        <v>50352</v>
      </c>
      <c r="G35" s="76">
        <f t="shared" si="2"/>
        <v>323.71584699453553</v>
      </c>
      <c r="H35" s="76">
        <f t="shared" si="3"/>
        <v>273.74143742524734</v>
      </c>
      <c r="I35" s="261">
        <f t="shared" si="4"/>
        <v>43.590944574551131</v>
      </c>
      <c r="J35" s="261">
        <f t="shared" si="5"/>
        <v>21.423748432526285</v>
      </c>
      <c r="K35" s="259">
        <f>'CD Ratio_2'!C35+'CD Ratio_2'!D35+'CD Ratio_2'!E35</f>
        <v>18394</v>
      </c>
      <c r="L35" s="259">
        <f t="shared" si="0"/>
        <v>0</v>
      </c>
      <c r="M35" s="259">
        <f>'CD Ratio_2'!F35+'CD Ratio_2'!G35+'CD Ratio_2'!H35</f>
        <v>50352</v>
      </c>
      <c r="N35" s="259">
        <f t="shared" si="1"/>
        <v>0</v>
      </c>
      <c r="O35" s="391">
        <f t="shared" si="6"/>
        <v>54278</v>
      </c>
      <c r="P35" s="391">
        <f t="shared" si="7"/>
        <v>68746</v>
      </c>
      <c r="Q35" s="391">
        <f t="shared" si="8"/>
        <v>14468</v>
      </c>
      <c r="R35" s="394">
        <f t="shared" si="9"/>
        <v>26.655366815284278</v>
      </c>
      <c r="S35" s="160"/>
      <c r="T35" s="160"/>
      <c r="U35" s="160"/>
      <c r="V35" s="160"/>
      <c r="W35" s="160"/>
      <c r="X35" s="160"/>
    </row>
    <row r="36" spans="1:24" ht="15" customHeight="1" x14ac:dyDescent="0.2">
      <c r="A36" s="72">
        <v>30</v>
      </c>
      <c r="B36" s="73" t="s">
        <v>235</v>
      </c>
      <c r="C36" s="89">
        <v>2700</v>
      </c>
      <c r="D36" s="257">
        <v>3000</v>
      </c>
      <c r="E36" s="90">
        <v>600</v>
      </c>
      <c r="F36" s="258">
        <v>703</v>
      </c>
      <c r="G36" s="76">
        <f t="shared" si="2"/>
        <v>22.222222222222221</v>
      </c>
      <c r="H36" s="76">
        <f t="shared" si="3"/>
        <v>23.433333333333334</v>
      </c>
      <c r="I36" s="261">
        <f t="shared" si="4"/>
        <v>11.111111111111111</v>
      </c>
      <c r="J36" s="261">
        <f t="shared" si="5"/>
        <v>17.166666666666668</v>
      </c>
      <c r="K36" s="259">
        <f>'CD Ratio_2'!C36+'CD Ratio_2'!D36+'CD Ratio_2'!E36</f>
        <v>3000</v>
      </c>
      <c r="L36" s="259">
        <f t="shared" si="0"/>
        <v>0</v>
      </c>
      <c r="M36" s="259">
        <f>'CD Ratio_2'!F36+'CD Ratio_2'!G36+'CD Ratio_2'!H36</f>
        <v>703</v>
      </c>
      <c r="N36" s="259">
        <f t="shared" si="1"/>
        <v>0</v>
      </c>
      <c r="O36" s="391">
        <f t="shared" si="6"/>
        <v>3300</v>
      </c>
      <c r="P36" s="391">
        <f t="shared" si="7"/>
        <v>3703</v>
      </c>
      <c r="Q36" s="391">
        <f t="shared" si="8"/>
        <v>403</v>
      </c>
      <c r="R36" s="394">
        <f t="shared" si="9"/>
        <v>12.212121212121213</v>
      </c>
      <c r="S36" s="160"/>
      <c r="T36" s="160"/>
      <c r="U36" s="160"/>
      <c r="V36" s="160"/>
      <c r="W36" s="160"/>
      <c r="X36" s="160"/>
    </row>
    <row r="37" spans="1:24" ht="15" customHeight="1" x14ac:dyDescent="0.2">
      <c r="A37" s="72">
        <v>31</v>
      </c>
      <c r="B37" s="73" t="s">
        <v>79</v>
      </c>
      <c r="C37" s="89">
        <v>3961</v>
      </c>
      <c r="D37" s="257">
        <v>3695</v>
      </c>
      <c r="E37" s="90">
        <v>0</v>
      </c>
      <c r="F37" s="258">
        <v>34909</v>
      </c>
      <c r="G37" s="76">
        <f t="shared" si="2"/>
        <v>0</v>
      </c>
      <c r="H37" s="76">
        <f t="shared" si="3"/>
        <v>944.76319350473614</v>
      </c>
      <c r="I37" s="261">
        <f t="shared" si="4"/>
        <v>-6.7154758899267861</v>
      </c>
      <c r="J37" s="261" t="e">
        <f t="shared" si="5"/>
        <v>#DIV/0!</v>
      </c>
      <c r="K37" s="259">
        <f>'CD Ratio_2'!C37+'CD Ratio_2'!D37+'CD Ratio_2'!E37</f>
        <v>3695</v>
      </c>
      <c r="L37" s="259">
        <f t="shared" si="0"/>
        <v>0</v>
      </c>
      <c r="M37" s="259">
        <f>'CD Ratio_2'!F37+'CD Ratio_2'!G37+'CD Ratio_2'!H37</f>
        <v>34909</v>
      </c>
      <c r="N37" s="259">
        <f t="shared" si="1"/>
        <v>0</v>
      </c>
      <c r="O37" s="391">
        <f t="shared" si="6"/>
        <v>3961</v>
      </c>
      <c r="P37" s="391">
        <f t="shared" si="7"/>
        <v>38604</v>
      </c>
      <c r="Q37" s="391">
        <f t="shared" si="8"/>
        <v>34643</v>
      </c>
      <c r="R37" s="394">
        <f t="shared" si="9"/>
        <v>874.60237313809648</v>
      </c>
      <c r="S37" s="160"/>
      <c r="T37" s="160"/>
      <c r="U37" s="160"/>
      <c r="V37" s="160"/>
      <c r="W37" s="160"/>
      <c r="X37" s="160"/>
    </row>
    <row r="38" spans="1:24" ht="15" customHeight="1" x14ac:dyDescent="0.2">
      <c r="A38" s="72">
        <v>32</v>
      </c>
      <c r="B38" s="73" t="s">
        <v>52</v>
      </c>
      <c r="C38" s="79">
        <v>4927</v>
      </c>
      <c r="D38" s="257">
        <v>5889.54</v>
      </c>
      <c r="E38" s="79">
        <v>8698</v>
      </c>
      <c r="F38" s="258">
        <v>8636.6299999999992</v>
      </c>
      <c r="G38" s="76">
        <f t="shared" si="2"/>
        <v>176.5374467221433</v>
      </c>
      <c r="H38" s="76">
        <f t="shared" si="3"/>
        <v>146.64354092170186</v>
      </c>
      <c r="I38" s="261">
        <f t="shared" si="4"/>
        <v>19.536025979297747</v>
      </c>
      <c r="J38" s="261">
        <f t="shared" si="5"/>
        <v>-0.70556449758566109</v>
      </c>
      <c r="K38" s="259">
        <f>'CD Ratio_2'!C38+'CD Ratio_2'!D38+'CD Ratio_2'!E38</f>
        <v>5889.54</v>
      </c>
      <c r="L38" s="259">
        <f t="shared" ref="L38:L63" si="11">D38-K38</f>
        <v>0</v>
      </c>
      <c r="M38" s="259">
        <f>'CD Ratio_2'!F38+'CD Ratio_2'!G38+'CD Ratio_2'!H38</f>
        <v>8636.6299999999992</v>
      </c>
      <c r="N38" s="259">
        <f t="shared" si="1"/>
        <v>0</v>
      </c>
      <c r="O38" s="391">
        <f t="shared" si="6"/>
        <v>13625</v>
      </c>
      <c r="P38" s="391">
        <f t="shared" si="7"/>
        <v>14526.169999999998</v>
      </c>
      <c r="Q38" s="391">
        <f t="shared" si="8"/>
        <v>901.16999999999825</v>
      </c>
      <c r="R38" s="394">
        <f t="shared" si="9"/>
        <v>6.6140917431192534</v>
      </c>
      <c r="S38" s="160"/>
      <c r="T38" s="160"/>
      <c r="U38" s="160"/>
      <c r="V38" s="160"/>
      <c r="W38" s="160"/>
      <c r="X38" s="160"/>
    </row>
    <row r="39" spans="1:24" ht="15" customHeight="1" x14ac:dyDescent="0.2">
      <c r="A39" s="72">
        <v>33</v>
      </c>
      <c r="B39" s="73" t="s">
        <v>218</v>
      </c>
      <c r="C39" s="89">
        <v>11958</v>
      </c>
      <c r="D39" s="257">
        <v>13229</v>
      </c>
      <c r="E39" s="90">
        <v>38864</v>
      </c>
      <c r="F39" s="258">
        <v>44795</v>
      </c>
      <c r="G39" s="76">
        <f t="shared" si="2"/>
        <v>325.00418130122097</v>
      </c>
      <c r="H39" s="76">
        <f t="shared" si="3"/>
        <v>338.61213999546453</v>
      </c>
      <c r="I39" s="261">
        <f t="shared" si="4"/>
        <v>10.62886770362937</v>
      </c>
      <c r="J39" s="261">
        <f t="shared" si="5"/>
        <v>15.260909839440099</v>
      </c>
      <c r="K39" s="259">
        <f>'CD Ratio_2'!C39+'CD Ratio_2'!D39+'CD Ratio_2'!E39</f>
        <v>13229</v>
      </c>
      <c r="L39" s="259">
        <f t="shared" si="11"/>
        <v>0</v>
      </c>
      <c r="M39" s="259">
        <f>'CD Ratio_2'!F39+'CD Ratio_2'!G39+'CD Ratio_2'!H39</f>
        <v>44795</v>
      </c>
      <c r="N39" s="259">
        <f t="shared" si="1"/>
        <v>0</v>
      </c>
      <c r="O39" s="391">
        <f t="shared" si="6"/>
        <v>50822</v>
      </c>
      <c r="P39" s="391">
        <f t="shared" si="7"/>
        <v>58024</v>
      </c>
      <c r="Q39" s="391">
        <f t="shared" si="8"/>
        <v>7202</v>
      </c>
      <c r="R39" s="394">
        <f t="shared" si="9"/>
        <v>14.171028294832947</v>
      </c>
      <c r="S39" s="160"/>
      <c r="T39" s="160"/>
      <c r="U39" s="160"/>
      <c r="V39" s="160"/>
      <c r="W39" s="160"/>
      <c r="X39" s="160"/>
    </row>
    <row r="40" spans="1:24" ht="15" customHeight="1" x14ac:dyDescent="0.2">
      <c r="A40" s="72">
        <v>34</v>
      </c>
      <c r="B40" s="73" t="s">
        <v>90</v>
      </c>
      <c r="C40" s="81">
        <v>608.36</v>
      </c>
      <c r="D40" s="257">
        <v>657.39</v>
      </c>
      <c r="E40" s="81">
        <v>28</v>
      </c>
      <c r="F40" s="258">
        <v>27.89</v>
      </c>
      <c r="G40" s="76">
        <f t="shared" si="2"/>
        <v>4.6025379709382603</v>
      </c>
      <c r="H40" s="76">
        <f t="shared" si="3"/>
        <v>4.2425348727543772</v>
      </c>
      <c r="I40" s="261">
        <f t="shared" si="4"/>
        <v>8.0593727398250987</v>
      </c>
      <c r="J40" s="261">
        <f t="shared" si="5"/>
        <v>-0.39285714285714085</v>
      </c>
      <c r="K40" s="259">
        <f>'CD Ratio_2'!C40+'CD Ratio_2'!D40+'CD Ratio_2'!E40</f>
        <v>657</v>
      </c>
      <c r="L40" s="259">
        <f t="shared" si="11"/>
        <v>0.38999999999998636</v>
      </c>
      <c r="M40" s="259">
        <f>'CD Ratio_2'!F40+'CD Ratio_2'!G40+'CD Ratio_2'!H40</f>
        <v>28</v>
      </c>
      <c r="N40" s="259">
        <f t="shared" si="1"/>
        <v>-0.10999999999999943</v>
      </c>
      <c r="O40" s="391">
        <f t="shared" si="6"/>
        <v>636.36</v>
      </c>
      <c r="P40" s="391">
        <f t="shared" si="7"/>
        <v>685.28</v>
      </c>
      <c r="Q40" s="391">
        <f t="shared" si="8"/>
        <v>48.919999999999959</v>
      </c>
      <c r="R40" s="394">
        <f t="shared" si="9"/>
        <v>7.6874724998428503</v>
      </c>
      <c r="S40" s="160"/>
      <c r="T40" s="160"/>
      <c r="U40" s="160"/>
      <c r="V40" s="160"/>
      <c r="W40" s="160"/>
      <c r="X40" s="160"/>
    </row>
    <row r="41" spans="1:24" ht="15" customHeight="1" x14ac:dyDescent="0.2">
      <c r="A41" s="72">
        <v>35</v>
      </c>
      <c r="B41" s="73" t="s">
        <v>220</v>
      </c>
      <c r="C41" s="74">
        <v>41546</v>
      </c>
      <c r="D41" s="257">
        <v>44068.87</v>
      </c>
      <c r="E41" s="74">
        <v>15259</v>
      </c>
      <c r="F41" s="258">
        <v>16270.29</v>
      </c>
      <c r="G41" s="76">
        <f t="shared" si="2"/>
        <v>36.727964184277667</v>
      </c>
      <c r="H41" s="76">
        <f t="shared" si="3"/>
        <v>36.92014340281473</v>
      </c>
      <c r="I41" s="261">
        <f t="shared" si="4"/>
        <v>6.0724738843691393</v>
      </c>
      <c r="J41" s="261">
        <f t="shared" si="5"/>
        <v>6.62749852546039</v>
      </c>
      <c r="K41" s="259">
        <f>'CD Ratio_2'!C41+'CD Ratio_2'!D41+'CD Ratio_2'!E41</f>
        <v>44068.87</v>
      </c>
      <c r="L41" s="259">
        <f t="shared" si="11"/>
        <v>0</v>
      </c>
      <c r="M41" s="259">
        <f>'CD Ratio_2'!F41+'CD Ratio_2'!G41+'CD Ratio_2'!H41</f>
        <v>16270.289999999999</v>
      </c>
      <c r="N41" s="259">
        <f t="shared" si="1"/>
        <v>0</v>
      </c>
      <c r="O41" s="391">
        <f t="shared" si="6"/>
        <v>56805</v>
      </c>
      <c r="P41" s="391">
        <f t="shared" si="7"/>
        <v>60339.16</v>
      </c>
      <c r="Q41" s="391">
        <f t="shared" si="8"/>
        <v>3534.1600000000035</v>
      </c>
      <c r="R41" s="394">
        <f t="shared" si="9"/>
        <v>6.2215650030807206</v>
      </c>
      <c r="S41" s="160"/>
      <c r="T41" s="160"/>
      <c r="U41" s="160"/>
      <c r="V41" s="160"/>
      <c r="W41" s="160"/>
      <c r="X41" s="160"/>
    </row>
    <row r="42" spans="1:24" ht="15" customHeight="1" x14ac:dyDescent="0.2">
      <c r="A42" s="72">
        <v>36</v>
      </c>
      <c r="B42" s="73" t="s">
        <v>72</v>
      </c>
      <c r="C42" s="74">
        <v>666896</v>
      </c>
      <c r="D42" s="257">
        <v>708476</v>
      </c>
      <c r="E42" s="74">
        <v>1121228</v>
      </c>
      <c r="F42" s="258">
        <v>1161111</v>
      </c>
      <c r="G42" s="76">
        <f t="shared" si="2"/>
        <v>168.12636453060148</v>
      </c>
      <c r="H42" s="76">
        <f t="shared" si="3"/>
        <v>163.88854386034248</v>
      </c>
      <c r="I42" s="261">
        <f t="shared" si="4"/>
        <v>6.2348552098078258</v>
      </c>
      <c r="J42" s="261">
        <f t="shared" si="5"/>
        <v>3.5570820564595249</v>
      </c>
      <c r="K42" s="259">
        <f>'CD Ratio_2'!C42+'CD Ratio_2'!D42+'CD Ratio_2'!E42</f>
        <v>708476</v>
      </c>
      <c r="L42" s="259">
        <f t="shared" si="11"/>
        <v>0</v>
      </c>
      <c r="M42" s="259">
        <f>'CD Ratio_2'!F42+'CD Ratio_2'!G42+'CD Ratio_2'!H42</f>
        <v>1161111</v>
      </c>
      <c r="N42" s="259">
        <f t="shared" si="1"/>
        <v>0</v>
      </c>
      <c r="O42" s="391">
        <f t="shared" si="6"/>
        <v>1788124</v>
      </c>
      <c r="P42" s="391">
        <f t="shared" si="7"/>
        <v>1869587</v>
      </c>
      <c r="Q42" s="391">
        <f t="shared" si="8"/>
        <v>81463</v>
      </c>
      <c r="R42" s="394">
        <f t="shared" si="9"/>
        <v>4.5557802479022707</v>
      </c>
      <c r="S42" s="160"/>
      <c r="T42" s="160"/>
      <c r="U42" s="160"/>
      <c r="V42" s="160"/>
      <c r="W42" s="160"/>
      <c r="X42" s="160"/>
    </row>
    <row r="43" spans="1:24" ht="15" customHeight="1" x14ac:dyDescent="0.2">
      <c r="A43" s="72">
        <v>37</v>
      </c>
      <c r="B43" s="73" t="s">
        <v>73</v>
      </c>
      <c r="C43" s="74">
        <v>558449.43960000004</v>
      </c>
      <c r="D43" s="257">
        <v>609586.30000000005</v>
      </c>
      <c r="E43" s="74">
        <v>1038802.319</v>
      </c>
      <c r="F43" s="258">
        <v>1041147.98</v>
      </c>
      <c r="G43" s="76">
        <f t="shared" si="2"/>
        <v>186.01546448753925</v>
      </c>
      <c r="H43" s="76">
        <f t="shared" si="3"/>
        <v>170.79582989315867</v>
      </c>
      <c r="I43" s="261">
        <f t="shared" si="4"/>
        <v>9.1569364697774169</v>
      </c>
      <c r="J43" s="261">
        <f t="shared" si="5"/>
        <v>0.22580436692305494</v>
      </c>
      <c r="K43" s="259">
        <f>'CD Ratio_2'!C43+'CD Ratio_2'!D43+'CD Ratio_2'!E43</f>
        <v>609586.30000000005</v>
      </c>
      <c r="L43" s="259">
        <f t="shared" si="11"/>
        <v>0</v>
      </c>
      <c r="M43" s="259">
        <f>'CD Ratio_2'!F43+'CD Ratio_2'!G43+'CD Ratio_2'!H43</f>
        <v>1041147.98</v>
      </c>
      <c r="N43" s="259">
        <f t="shared" si="1"/>
        <v>0</v>
      </c>
      <c r="O43" s="391">
        <f t="shared" si="6"/>
        <v>1597251.7586000001</v>
      </c>
      <c r="P43" s="391">
        <f t="shared" si="7"/>
        <v>1650734.28</v>
      </c>
      <c r="Q43" s="391">
        <f t="shared" si="8"/>
        <v>53482.521399999969</v>
      </c>
      <c r="R43" s="394">
        <f t="shared" si="9"/>
        <v>3.3484089851231524</v>
      </c>
      <c r="S43" s="160"/>
      <c r="T43" s="160"/>
      <c r="U43" s="160"/>
      <c r="V43" s="160"/>
      <c r="W43" s="160"/>
      <c r="X43" s="160"/>
    </row>
    <row r="44" spans="1:24" ht="15" customHeight="1" x14ac:dyDescent="0.2">
      <c r="A44" s="72">
        <v>38</v>
      </c>
      <c r="B44" s="73" t="s">
        <v>221</v>
      </c>
      <c r="C44" s="89">
        <v>360</v>
      </c>
      <c r="D44" s="257">
        <v>1112</v>
      </c>
      <c r="E44" s="90">
        <v>2685</v>
      </c>
      <c r="F44" s="258">
        <v>8798</v>
      </c>
      <c r="G44" s="76">
        <f t="shared" si="2"/>
        <v>745.83333333333337</v>
      </c>
      <c r="H44" s="76">
        <f t="shared" si="3"/>
        <v>791.1870503597122</v>
      </c>
      <c r="I44" s="261">
        <f t="shared" si="4"/>
        <v>208.88888888888889</v>
      </c>
      <c r="J44" s="261">
        <f t="shared" si="5"/>
        <v>227.67225325884544</v>
      </c>
      <c r="K44" s="259">
        <f>'CD Ratio_2'!C44+'CD Ratio_2'!D44+'CD Ratio_2'!E44</f>
        <v>1112</v>
      </c>
      <c r="L44" s="259">
        <f t="shared" si="11"/>
        <v>0</v>
      </c>
      <c r="M44" s="259">
        <f>'CD Ratio_2'!F44+'CD Ratio_2'!G44+'CD Ratio_2'!H44</f>
        <v>8798</v>
      </c>
      <c r="N44" s="259">
        <f t="shared" si="1"/>
        <v>0</v>
      </c>
      <c r="O44" s="391">
        <f t="shared" si="6"/>
        <v>3045</v>
      </c>
      <c r="P44" s="391">
        <f t="shared" si="7"/>
        <v>9910</v>
      </c>
      <c r="Q44" s="391">
        <f t="shared" si="8"/>
        <v>6865</v>
      </c>
      <c r="R44" s="394">
        <f t="shared" si="9"/>
        <v>225.45155993431857</v>
      </c>
      <c r="S44" s="160"/>
      <c r="T44" s="160"/>
      <c r="U44" s="160"/>
      <c r="V44" s="160"/>
      <c r="W44" s="160"/>
      <c r="X44" s="160"/>
    </row>
    <row r="45" spans="1:24" ht="15" customHeight="1" x14ac:dyDescent="0.2">
      <c r="A45" s="72">
        <v>39</v>
      </c>
      <c r="B45" s="73" t="s">
        <v>91</v>
      </c>
      <c r="C45" s="75">
        <v>84665</v>
      </c>
      <c r="D45" s="257">
        <v>89248</v>
      </c>
      <c r="E45" s="79">
        <v>239001</v>
      </c>
      <c r="F45" s="258">
        <v>248825</v>
      </c>
      <c r="G45" s="76">
        <f t="shared" si="2"/>
        <v>282.29020256304256</v>
      </c>
      <c r="H45" s="76">
        <f t="shared" si="3"/>
        <v>278.80176586590176</v>
      </c>
      <c r="I45" s="261">
        <f t="shared" si="4"/>
        <v>5.4130986830449421</v>
      </c>
      <c r="J45" s="261">
        <f t="shared" si="5"/>
        <v>4.1104430525395292</v>
      </c>
      <c r="K45" s="259">
        <f>'CD Ratio_2'!C45+'CD Ratio_2'!D45+'CD Ratio_2'!E45</f>
        <v>89248</v>
      </c>
      <c r="L45" s="259">
        <f t="shared" si="11"/>
        <v>0</v>
      </c>
      <c r="M45" s="259">
        <f>'CD Ratio_2'!F45+'CD Ratio_2'!G45+'CD Ratio_2'!H45</f>
        <v>248825</v>
      </c>
      <c r="N45" s="259">
        <f t="shared" si="1"/>
        <v>0</v>
      </c>
      <c r="O45" s="391">
        <f t="shared" si="6"/>
        <v>323666</v>
      </c>
      <c r="P45" s="391">
        <f t="shared" si="7"/>
        <v>338073</v>
      </c>
      <c r="Q45" s="391">
        <f t="shared" si="8"/>
        <v>14407</v>
      </c>
      <c r="R45" s="394">
        <f t="shared" si="9"/>
        <v>4.4511935143017807</v>
      </c>
      <c r="S45" s="160"/>
      <c r="T45" s="160"/>
      <c r="U45" s="160"/>
      <c r="V45" s="160"/>
      <c r="W45" s="160"/>
      <c r="X45" s="160"/>
    </row>
    <row r="46" spans="1:24" ht="15" customHeight="1" x14ac:dyDescent="0.2">
      <c r="A46" s="72">
        <v>40</v>
      </c>
      <c r="B46" s="73" t="s">
        <v>236</v>
      </c>
      <c r="C46" s="81">
        <v>11971</v>
      </c>
      <c r="D46" s="257">
        <v>17676</v>
      </c>
      <c r="E46" s="81">
        <v>1536</v>
      </c>
      <c r="F46" s="258">
        <v>3536</v>
      </c>
      <c r="G46" s="76">
        <f t="shared" si="2"/>
        <v>12.8310082699858</v>
      </c>
      <c r="H46" s="76">
        <f t="shared" si="3"/>
        <v>20.004525910839558</v>
      </c>
      <c r="I46" s="261">
        <f t="shared" si="4"/>
        <v>47.65683735694595</v>
      </c>
      <c r="J46" s="261">
        <f t="shared" si="5"/>
        <v>130.20833333333334</v>
      </c>
      <c r="K46" s="259">
        <f>'CD Ratio_2'!C46+'CD Ratio_2'!D46+'CD Ratio_2'!E46</f>
        <v>17676</v>
      </c>
      <c r="L46" s="259">
        <f t="shared" si="11"/>
        <v>0</v>
      </c>
      <c r="M46" s="259">
        <f>'CD Ratio_2'!F46+'CD Ratio_2'!G46+'CD Ratio_2'!H46</f>
        <v>3536</v>
      </c>
      <c r="N46" s="259">
        <f t="shared" si="1"/>
        <v>0</v>
      </c>
      <c r="O46" s="391">
        <f t="shared" si="6"/>
        <v>13507</v>
      </c>
      <c r="P46" s="391">
        <f t="shared" si="7"/>
        <v>21212</v>
      </c>
      <c r="Q46" s="391">
        <f t="shared" si="8"/>
        <v>7705</v>
      </c>
      <c r="R46" s="394">
        <f t="shared" si="9"/>
        <v>57.044495446805357</v>
      </c>
      <c r="S46" s="160"/>
      <c r="T46" s="160"/>
      <c r="U46" s="160"/>
      <c r="V46" s="160"/>
      <c r="W46" s="160"/>
      <c r="X46" s="160"/>
    </row>
    <row r="47" spans="1:24" ht="15" customHeight="1" x14ac:dyDescent="0.2">
      <c r="A47" s="72">
        <v>41</v>
      </c>
      <c r="B47" s="73" t="s">
        <v>89</v>
      </c>
      <c r="C47" s="79">
        <v>20098</v>
      </c>
      <c r="D47" s="257">
        <v>20914</v>
      </c>
      <c r="E47" s="79">
        <v>32769</v>
      </c>
      <c r="F47" s="258">
        <v>33428</v>
      </c>
      <c r="G47" s="76">
        <f t="shared" si="2"/>
        <v>163.04607423624242</v>
      </c>
      <c r="H47" s="76">
        <f t="shared" si="3"/>
        <v>159.83551687864588</v>
      </c>
      <c r="I47" s="261">
        <f t="shared" si="4"/>
        <v>4.0601054831326504</v>
      </c>
      <c r="J47" s="261">
        <f t="shared" si="5"/>
        <v>2.0110470261527662</v>
      </c>
      <c r="K47" s="259">
        <f>'CD Ratio_2'!C47+'CD Ratio_2'!D47+'CD Ratio_2'!E47</f>
        <v>20914</v>
      </c>
      <c r="L47" s="259">
        <f t="shared" si="11"/>
        <v>0</v>
      </c>
      <c r="M47" s="259">
        <f>'CD Ratio_2'!F47+'CD Ratio_2'!G47+'CD Ratio_2'!H47</f>
        <v>33428</v>
      </c>
      <c r="N47" s="259">
        <f t="shared" si="1"/>
        <v>0</v>
      </c>
      <c r="O47" s="391">
        <f t="shared" si="6"/>
        <v>52867</v>
      </c>
      <c r="P47" s="391">
        <f t="shared" si="7"/>
        <v>54342</v>
      </c>
      <c r="Q47" s="391">
        <f t="shared" si="8"/>
        <v>1475</v>
      </c>
      <c r="R47" s="394">
        <f t="shared" si="9"/>
        <v>2.790020239468856</v>
      </c>
      <c r="S47" s="160"/>
      <c r="T47" s="160"/>
      <c r="U47" s="160"/>
      <c r="V47" s="160"/>
      <c r="W47" s="160"/>
      <c r="X47" s="160"/>
    </row>
    <row r="48" spans="1:24" ht="15" customHeight="1" x14ac:dyDescent="0.2">
      <c r="A48" s="72">
        <v>42</v>
      </c>
      <c r="B48" s="73" t="s">
        <v>94</v>
      </c>
      <c r="C48" s="79">
        <v>18899</v>
      </c>
      <c r="D48" s="257">
        <v>18322</v>
      </c>
      <c r="E48" s="79">
        <v>14046</v>
      </c>
      <c r="F48" s="258">
        <v>20588</v>
      </c>
      <c r="G48" s="76">
        <f t="shared" si="2"/>
        <v>74.321392666278641</v>
      </c>
      <c r="H48" s="76">
        <f t="shared" si="3"/>
        <v>112.36764545355311</v>
      </c>
      <c r="I48" s="261">
        <f t="shared" si="4"/>
        <v>-3.0530715910894757</v>
      </c>
      <c r="J48" s="261">
        <f t="shared" si="5"/>
        <v>46.575537519578525</v>
      </c>
      <c r="K48" s="259">
        <f>'CD Ratio_2'!C48+'CD Ratio_2'!D48+'CD Ratio_2'!E48</f>
        <v>18322</v>
      </c>
      <c r="L48" s="259">
        <f t="shared" si="11"/>
        <v>0</v>
      </c>
      <c r="M48" s="259">
        <f>'CD Ratio_2'!F48+'CD Ratio_2'!G48+'CD Ratio_2'!H48</f>
        <v>20588</v>
      </c>
      <c r="N48" s="259">
        <f t="shared" si="1"/>
        <v>0</v>
      </c>
      <c r="O48" s="391">
        <f t="shared" si="6"/>
        <v>32945</v>
      </c>
      <c r="P48" s="391">
        <f t="shared" si="7"/>
        <v>38910</v>
      </c>
      <c r="Q48" s="391">
        <f t="shared" si="8"/>
        <v>5965</v>
      </c>
      <c r="R48" s="394">
        <f t="shared" si="9"/>
        <v>18.105934132645316</v>
      </c>
      <c r="S48" s="160"/>
      <c r="T48" s="160"/>
      <c r="U48" s="160"/>
      <c r="V48" s="160"/>
      <c r="W48" s="160"/>
      <c r="X48" s="160"/>
    </row>
    <row r="49" spans="1:24" ht="15" customHeight="1" x14ac:dyDescent="0.2">
      <c r="A49" s="72">
        <v>43</v>
      </c>
      <c r="B49" s="73" t="s">
        <v>74</v>
      </c>
      <c r="C49" s="80">
        <v>96672</v>
      </c>
      <c r="D49" s="257">
        <v>102534</v>
      </c>
      <c r="E49" s="80">
        <v>197570</v>
      </c>
      <c r="F49" s="258">
        <v>203987</v>
      </c>
      <c r="G49" s="76">
        <f t="shared" si="2"/>
        <v>204.37148295266468</v>
      </c>
      <c r="H49" s="76">
        <f t="shared" si="3"/>
        <v>198.94571556751907</v>
      </c>
      <c r="I49" s="261">
        <f t="shared" si="4"/>
        <v>6.063803376365442</v>
      </c>
      <c r="J49" s="261">
        <f t="shared" si="5"/>
        <v>3.2479627473806754</v>
      </c>
      <c r="K49" s="259">
        <f>'CD Ratio_2'!C49+'CD Ratio_2'!D49+'CD Ratio_2'!E49</f>
        <v>102534</v>
      </c>
      <c r="L49" s="259">
        <f t="shared" si="11"/>
        <v>0</v>
      </c>
      <c r="M49" s="259">
        <f>'CD Ratio_2'!F49+'CD Ratio_2'!G49+'CD Ratio_2'!H49</f>
        <v>203987</v>
      </c>
      <c r="N49" s="259">
        <f t="shared" si="1"/>
        <v>0</v>
      </c>
      <c r="O49" s="391">
        <f t="shared" si="6"/>
        <v>294242</v>
      </c>
      <c r="P49" s="391">
        <f t="shared" si="7"/>
        <v>306521</v>
      </c>
      <c r="Q49" s="391">
        <f t="shared" si="8"/>
        <v>12279</v>
      </c>
      <c r="R49" s="394">
        <f t="shared" si="9"/>
        <v>4.1730956151739047</v>
      </c>
      <c r="S49" s="160"/>
      <c r="T49" s="160"/>
      <c r="U49" s="160"/>
      <c r="V49" s="160"/>
      <c r="W49" s="160"/>
      <c r="X49" s="160"/>
    </row>
    <row r="50" spans="1:24" ht="15" customHeight="1" x14ac:dyDescent="0.2">
      <c r="A50" s="72">
        <v>44</v>
      </c>
      <c r="B50" s="73" t="s">
        <v>92</v>
      </c>
      <c r="C50" s="81">
        <v>11418</v>
      </c>
      <c r="D50" s="257">
        <v>11918</v>
      </c>
      <c r="E50" s="81">
        <v>3741</v>
      </c>
      <c r="F50" s="258">
        <v>4230</v>
      </c>
      <c r="G50" s="76">
        <f t="shared" si="2"/>
        <v>32.76405675249606</v>
      </c>
      <c r="H50" s="76">
        <f t="shared" si="3"/>
        <v>35.492532304077862</v>
      </c>
      <c r="I50" s="261">
        <f t="shared" si="4"/>
        <v>4.3790506218251881</v>
      </c>
      <c r="J50" s="261">
        <f t="shared" si="5"/>
        <v>13.071371291098636</v>
      </c>
      <c r="K50" s="259">
        <f>'CD Ratio_2'!C50+'CD Ratio_2'!D50+'CD Ratio_2'!E50</f>
        <v>11918</v>
      </c>
      <c r="L50" s="259">
        <f t="shared" si="11"/>
        <v>0</v>
      </c>
      <c r="M50" s="259">
        <f>'CD Ratio_2'!F50+'CD Ratio_2'!G50+'CD Ratio_2'!H50</f>
        <v>4230</v>
      </c>
      <c r="N50" s="259">
        <f t="shared" si="1"/>
        <v>0</v>
      </c>
      <c r="O50" s="391">
        <f t="shared" si="6"/>
        <v>15159</v>
      </c>
      <c r="P50" s="391">
        <f t="shared" si="7"/>
        <v>16148</v>
      </c>
      <c r="Q50" s="391">
        <f t="shared" si="8"/>
        <v>989</v>
      </c>
      <c r="R50" s="394">
        <f t="shared" si="9"/>
        <v>6.5241770565340724</v>
      </c>
      <c r="S50" s="160"/>
      <c r="T50" s="160"/>
      <c r="U50" s="160"/>
      <c r="V50" s="160"/>
      <c r="W50" s="160"/>
      <c r="X50" s="160"/>
    </row>
    <row r="51" spans="1:24" ht="15" customHeight="1" x14ac:dyDescent="0.2">
      <c r="A51" s="72">
        <v>45</v>
      </c>
      <c r="B51" s="73" t="s">
        <v>76</v>
      </c>
      <c r="C51" s="79">
        <v>52680</v>
      </c>
      <c r="D51" s="257">
        <v>54403</v>
      </c>
      <c r="E51" s="81">
        <v>78373.069364159601</v>
      </c>
      <c r="F51" s="258">
        <v>82076</v>
      </c>
      <c r="G51" s="76">
        <f t="shared" si="2"/>
        <v>148.77196158724297</v>
      </c>
      <c r="H51" s="76">
        <f t="shared" si="3"/>
        <v>150.86668014631547</v>
      </c>
      <c r="I51" s="261">
        <f t="shared" si="4"/>
        <v>3.2706909643128323</v>
      </c>
      <c r="J51" s="261">
        <f t="shared" si="5"/>
        <v>4.7247487764384637</v>
      </c>
      <c r="K51" s="259">
        <f>'CD Ratio_2'!C51+'CD Ratio_2'!D51+'CD Ratio_2'!E51</f>
        <v>54403</v>
      </c>
      <c r="L51" s="259">
        <f t="shared" si="11"/>
        <v>0</v>
      </c>
      <c r="M51" s="259">
        <f>'CD Ratio_2'!F51+'CD Ratio_2'!G51+'CD Ratio_2'!H51</f>
        <v>82076</v>
      </c>
      <c r="N51" s="259">
        <f t="shared" si="1"/>
        <v>0</v>
      </c>
      <c r="O51" s="391">
        <f t="shared" si="6"/>
        <v>131053.0693641596</v>
      </c>
      <c r="P51" s="391">
        <f t="shared" si="7"/>
        <v>136479</v>
      </c>
      <c r="Q51" s="391">
        <f t="shared" si="8"/>
        <v>5425.9306358403992</v>
      </c>
      <c r="R51" s="394">
        <f t="shared" si="9"/>
        <v>4.1402545260220229</v>
      </c>
      <c r="S51" s="160"/>
      <c r="T51" s="160"/>
      <c r="U51" s="160"/>
      <c r="V51" s="160"/>
      <c r="W51" s="160"/>
      <c r="X51" s="160"/>
    </row>
    <row r="52" spans="1:24" ht="15" customHeight="1" x14ac:dyDescent="0.2">
      <c r="A52" s="72">
        <v>46</v>
      </c>
      <c r="B52" s="73" t="s">
        <v>228</v>
      </c>
      <c r="C52" s="91">
        <v>12692</v>
      </c>
      <c r="D52" s="257">
        <v>13059.45</v>
      </c>
      <c r="E52" s="91">
        <v>4776</v>
      </c>
      <c r="F52" s="258">
        <v>4837.21</v>
      </c>
      <c r="G52" s="76">
        <f t="shared" si="2"/>
        <v>37.630003151591552</v>
      </c>
      <c r="H52" s="76">
        <f t="shared" si="3"/>
        <v>37.039921283055563</v>
      </c>
      <c r="I52" s="261">
        <f t="shared" si="4"/>
        <v>2.8951307910494859</v>
      </c>
      <c r="J52" s="261">
        <f t="shared" si="5"/>
        <v>1.281616415410386</v>
      </c>
      <c r="K52" s="259">
        <f>'CD Ratio_2'!C52+'CD Ratio_2'!D52+'CD Ratio_2'!E52</f>
        <v>13059</v>
      </c>
      <c r="L52" s="259">
        <f t="shared" si="11"/>
        <v>0.4500000000007276</v>
      </c>
      <c r="M52" s="259">
        <f>'CD Ratio_2'!F52+'CD Ratio_2'!G52+'CD Ratio_2'!H52</f>
        <v>4837</v>
      </c>
      <c r="N52" s="259">
        <f t="shared" si="1"/>
        <v>0.21000000000003638</v>
      </c>
      <c r="O52" s="391">
        <f t="shared" si="6"/>
        <v>17468</v>
      </c>
      <c r="P52" s="391">
        <f t="shared" si="7"/>
        <v>17896.66</v>
      </c>
      <c r="Q52" s="391">
        <f t="shared" si="8"/>
        <v>428.65999999999985</v>
      </c>
      <c r="R52" s="394">
        <f t="shared" si="9"/>
        <v>2.4539729791618954</v>
      </c>
      <c r="S52" s="160"/>
      <c r="T52" s="160"/>
      <c r="U52" s="160"/>
      <c r="V52" s="160"/>
      <c r="W52" s="160"/>
      <c r="X52" s="160"/>
    </row>
    <row r="53" spans="1:24" ht="15" customHeight="1" x14ac:dyDescent="0.2">
      <c r="A53" s="72">
        <v>47</v>
      </c>
      <c r="B53" s="73" t="s">
        <v>78</v>
      </c>
      <c r="C53" s="89">
        <v>31879</v>
      </c>
      <c r="D53" s="257">
        <v>32434</v>
      </c>
      <c r="E53" s="90">
        <v>4581</v>
      </c>
      <c r="F53" s="258">
        <v>5051</v>
      </c>
      <c r="G53" s="76">
        <f t="shared" si="2"/>
        <v>14.369961416606543</v>
      </c>
      <c r="H53" s="76">
        <f t="shared" si="3"/>
        <v>15.573163963741752</v>
      </c>
      <c r="I53" s="261">
        <f t="shared" si="4"/>
        <v>1.7409579974277738</v>
      </c>
      <c r="J53" s="261">
        <f t="shared" si="5"/>
        <v>10.259768609473914</v>
      </c>
      <c r="K53" s="259">
        <f>'CD Ratio_2'!C53+'CD Ratio_2'!D53+'CD Ratio_2'!E53</f>
        <v>32434</v>
      </c>
      <c r="L53" s="259">
        <f t="shared" si="11"/>
        <v>0</v>
      </c>
      <c r="M53" s="259">
        <f>'CD Ratio_2'!F53+'CD Ratio_2'!G53+'CD Ratio_2'!H53</f>
        <v>5051</v>
      </c>
      <c r="N53" s="259">
        <f t="shared" si="1"/>
        <v>0</v>
      </c>
      <c r="O53" s="391">
        <f t="shared" si="6"/>
        <v>36460</v>
      </c>
      <c r="P53" s="391">
        <f t="shared" si="7"/>
        <v>37485</v>
      </c>
      <c r="Q53" s="391">
        <f t="shared" si="8"/>
        <v>1025</v>
      </c>
      <c r="R53" s="394">
        <f t="shared" si="9"/>
        <v>2.8113000548546352</v>
      </c>
      <c r="S53" s="160"/>
      <c r="T53" s="160"/>
      <c r="U53" s="160"/>
      <c r="V53" s="160"/>
      <c r="W53" s="160"/>
      <c r="X53" s="160"/>
    </row>
    <row r="54" spans="1:24" ht="15" customHeight="1" x14ac:dyDescent="0.2">
      <c r="A54" s="72">
        <v>48</v>
      </c>
      <c r="B54" s="73" t="s">
        <v>237</v>
      </c>
      <c r="C54" s="89">
        <v>1009</v>
      </c>
      <c r="D54" s="257">
        <v>1181</v>
      </c>
      <c r="E54" s="90">
        <v>3307</v>
      </c>
      <c r="F54" s="258">
        <v>5004</v>
      </c>
      <c r="G54" s="76">
        <f t="shared" si="2"/>
        <v>327.75024777006939</v>
      </c>
      <c r="H54" s="76">
        <f t="shared" si="3"/>
        <v>423.7087214225233</v>
      </c>
      <c r="I54" s="261">
        <f t="shared" si="4"/>
        <v>17.046580773042617</v>
      </c>
      <c r="J54" s="261">
        <f t="shared" si="5"/>
        <v>51.315391593589354</v>
      </c>
      <c r="K54" s="259">
        <f>'CD Ratio_2'!C54+'CD Ratio_2'!D54+'CD Ratio_2'!E54</f>
        <v>1181</v>
      </c>
      <c r="L54" s="259">
        <f t="shared" si="11"/>
        <v>0</v>
      </c>
      <c r="M54" s="259">
        <f>'CD Ratio_2'!F54+'CD Ratio_2'!G54+'CD Ratio_2'!H54</f>
        <v>5004</v>
      </c>
      <c r="N54" s="259">
        <f t="shared" si="1"/>
        <v>0</v>
      </c>
      <c r="O54" s="391">
        <f t="shared" si="6"/>
        <v>4316</v>
      </c>
      <c r="P54" s="391">
        <f t="shared" si="7"/>
        <v>6185</v>
      </c>
      <c r="Q54" s="391">
        <f t="shared" si="8"/>
        <v>1869</v>
      </c>
      <c r="R54" s="394">
        <f t="shared" si="9"/>
        <v>43.303985171455054</v>
      </c>
      <c r="S54" s="160"/>
      <c r="T54" s="160"/>
      <c r="U54" s="160"/>
      <c r="V54" s="160"/>
      <c r="W54" s="160"/>
      <c r="X54" s="160"/>
    </row>
    <row r="55" spans="1:24" ht="15" customHeight="1" x14ac:dyDescent="0.2">
      <c r="A55" s="72">
        <v>49</v>
      </c>
      <c r="B55" s="73" t="s">
        <v>77</v>
      </c>
      <c r="C55" s="80">
        <v>96600</v>
      </c>
      <c r="D55" s="257">
        <v>115160</v>
      </c>
      <c r="E55" s="80">
        <v>79100</v>
      </c>
      <c r="F55" s="258">
        <v>78933</v>
      </c>
      <c r="G55" s="76">
        <f t="shared" si="2"/>
        <v>81.884057971014499</v>
      </c>
      <c r="H55" s="76">
        <f t="shared" si="3"/>
        <v>68.542028482111846</v>
      </c>
      <c r="I55" s="261">
        <f t="shared" si="4"/>
        <v>19.213250517598343</v>
      </c>
      <c r="J55" s="261">
        <f t="shared" si="5"/>
        <v>-0.2111251580278129</v>
      </c>
      <c r="K55" s="259">
        <f>'CD Ratio_2'!C55+'CD Ratio_2'!D55+'CD Ratio_2'!E55</f>
        <v>115160</v>
      </c>
      <c r="L55" s="259">
        <f t="shared" si="11"/>
        <v>0</v>
      </c>
      <c r="M55" s="259">
        <f>'CD Ratio_2'!F55+'CD Ratio_2'!G55+'CD Ratio_2'!H55</f>
        <v>78933</v>
      </c>
      <c r="N55" s="259">
        <f t="shared" si="1"/>
        <v>0</v>
      </c>
      <c r="O55" s="391">
        <f t="shared" si="6"/>
        <v>175700</v>
      </c>
      <c r="P55" s="391">
        <f t="shared" si="7"/>
        <v>194093</v>
      </c>
      <c r="Q55" s="391">
        <f t="shared" si="8"/>
        <v>18393</v>
      </c>
      <c r="R55" s="394">
        <f t="shared" si="9"/>
        <v>10.468412066021628</v>
      </c>
      <c r="S55" s="160"/>
      <c r="T55" s="160"/>
      <c r="U55" s="160"/>
      <c r="V55" s="160"/>
      <c r="W55" s="160"/>
      <c r="X55" s="160"/>
    </row>
    <row r="56" spans="1:24" ht="15" customHeight="1" x14ac:dyDescent="0.2">
      <c r="A56" s="72"/>
      <c r="B56" s="84" t="s">
        <v>238</v>
      </c>
      <c r="C56" s="85">
        <f>SUM(C34:C55)</f>
        <v>2377947.7996</v>
      </c>
      <c r="D56" s="85">
        <f t="shared" ref="D56:F56" si="12">SUM(D34:D55)</f>
        <v>2572668.2800000003</v>
      </c>
      <c r="E56" s="85">
        <f t="shared" si="12"/>
        <v>3498404.3883641595</v>
      </c>
      <c r="F56" s="85">
        <f t="shared" si="12"/>
        <v>3649498.67</v>
      </c>
      <c r="G56" s="86">
        <f t="shared" si="2"/>
        <v>147.11863687473013</v>
      </c>
      <c r="H56" s="86">
        <f t="shared" si="3"/>
        <v>141.85655797023313</v>
      </c>
      <c r="I56" s="261">
        <f t="shared" si="4"/>
        <v>8.1885935609164591</v>
      </c>
      <c r="J56" s="261">
        <f t="shared" si="5"/>
        <v>4.318948436561147</v>
      </c>
      <c r="K56" s="259">
        <f>'CD Ratio_2'!C56+'CD Ratio_2'!D56+'CD Ratio_2'!E56</f>
        <v>2572667.44</v>
      </c>
      <c r="L56" s="259">
        <f t="shared" si="11"/>
        <v>0.84000000031664968</v>
      </c>
      <c r="M56" s="259">
        <f>'CD Ratio_2'!F56+'CD Ratio_2'!G56+'CD Ratio_2'!H56</f>
        <v>3649498.57</v>
      </c>
      <c r="N56" s="259">
        <f t="shared" si="1"/>
        <v>0.10000000009313226</v>
      </c>
      <c r="O56" s="391">
        <f t="shared" si="6"/>
        <v>5876352.18796416</v>
      </c>
      <c r="P56" s="391">
        <f t="shared" si="7"/>
        <v>6222166.9500000002</v>
      </c>
      <c r="Q56" s="391">
        <f t="shared" si="8"/>
        <v>345814.76203584019</v>
      </c>
      <c r="R56" s="394">
        <f t="shared" si="9"/>
        <v>5.8848542594865538</v>
      </c>
      <c r="S56" s="160"/>
      <c r="T56" s="160"/>
      <c r="U56" s="160"/>
      <c r="V56" s="160"/>
      <c r="W56" s="160"/>
      <c r="X56" s="160"/>
    </row>
    <row r="57" spans="1:24" ht="15" customHeight="1" x14ac:dyDescent="0.2">
      <c r="A57" s="72">
        <v>50</v>
      </c>
      <c r="B57" s="73" t="s">
        <v>47</v>
      </c>
      <c r="C57" s="74">
        <v>643539</v>
      </c>
      <c r="D57" s="257">
        <v>665919.41</v>
      </c>
      <c r="E57" s="74">
        <v>381315</v>
      </c>
      <c r="F57" s="258">
        <v>399321.2</v>
      </c>
      <c r="G57" s="76">
        <f t="shared" si="2"/>
        <v>59.252819176460164</v>
      </c>
      <c r="H57" s="76">
        <f t="shared" si="3"/>
        <v>59.965394311002285</v>
      </c>
      <c r="I57" s="261">
        <f t="shared" si="4"/>
        <v>3.4777084217118204</v>
      </c>
      <c r="J57" s="261">
        <f t="shared" si="5"/>
        <v>4.7221326200123288</v>
      </c>
      <c r="K57" s="259">
        <f>'CD Ratio_2'!C57+'CD Ratio_2'!D57+'CD Ratio_2'!E57</f>
        <v>665919.41</v>
      </c>
      <c r="L57" s="259">
        <f t="shared" si="11"/>
        <v>0</v>
      </c>
      <c r="M57" s="259">
        <f>'CD Ratio_2'!F57+'CD Ratio_2'!G57+'CD Ratio_2'!H57</f>
        <v>399321.19999999995</v>
      </c>
      <c r="N57" s="259">
        <f t="shared" si="1"/>
        <v>0</v>
      </c>
      <c r="O57" s="391">
        <f t="shared" si="6"/>
        <v>1024854</v>
      </c>
      <c r="P57" s="391">
        <f t="shared" si="7"/>
        <v>1065240.6100000001</v>
      </c>
      <c r="Q57" s="391">
        <f t="shared" si="8"/>
        <v>40386.610000000102</v>
      </c>
      <c r="R57" s="394">
        <f t="shared" si="9"/>
        <v>3.9407183852529339</v>
      </c>
      <c r="S57" s="160"/>
      <c r="T57" s="160"/>
      <c r="U57" s="160"/>
      <c r="V57" s="160"/>
      <c r="W57" s="160"/>
      <c r="X57" s="160"/>
    </row>
    <row r="58" spans="1:24" ht="15" customHeight="1" x14ac:dyDescent="0.2">
      <c r="A58" s="72">
        <v>51</v>
      </c>
      <c r="B58" s="73" t="s">
        <v>230</v>
      </c>
      <c r="C58" s="92">
        <v>588960</v>
      </c>
      <c r="D58" s="257">
        <v>609185</v>
      </c>
      <c r="E58" s="92">
        <v>257676</v>
      </c>
      <c r="F58" s="258">
        <v>261454</v>
      </c>
      <c r="G58" s="76">
        <f t="shared" si="2"/>
        <v>43.751018744906276</v>
      </c>
      <c r="H58" s="76">
        <f t="shared" si="3"/>
        <v>42.918653610972036</v>
      </c>
      <c r="I58" s="261">
        <f t="shared" si="4"/>
        <v>3.4340192882368923</v>
      </c>
      <c r="J58" s="261">
        <f t="shared" si="5"/>
        <v>1.4661823375091201</v>
      </c>
      <c r="K58" s="259">
        <f>'CD Ratio_2'!C58+'CD Ratio_2'!D58+'CD Ratio_2'!E58</f>
        <v>609185</v>
      </c>
      <c r="L58" s="259">
        <f t="shared" si="11"/>
        <v>0</v>
      </c>
      <c r="M58" s="259">
        <f>'CD Ratio_2'!F58+'CD Ratio_2'!G58+'CD Ratio_2'!H58</f>
        <v>261454</v>
      </c>
      <c r="N58" s="259">
        <f t="shared" si="1"/>
        <v>0</v>
      </c>
      <c r="O58" s="391">
        <f t="shared" si="6"/>
        <v>846636</v>
      </c>
      <c r="P58" s="391">
        <f t="shared" si="7"/>
        <v>870639</v>
      </c>
      <c r="Q58" s="391">
        <f t="shared" si="8"/>
        <v>24003</v>
      </c>
      <c r="R58" s="394">
        <f t="shared" si="9"/>
        <v>2.8351026887588056</v>
      </c>
      <c r="S58" s="160"/>
      <c r="T58" s="160"/>
      <c r="U58" s="160"/>
      <c r="V58" s="160"/>
      <c r="W58" s="160"/>
      <c r="X58" s="160"/>
    </row>
    <row r="59" spans="1:24" ht="15" customHeight="1" x14ac:dyDescent="0.2">
      <c r="A59" s="72">
        <v>52</v>
      </c>
      <c r="B59" s="73" t="s">
        <v>53</v>
      </c>
      <c r="C59" s="81">
        <v>500752.15666450007</v>
      </c>
      <c r="D59" s="257">
        <v>531172</v>
      </c>
      <c r="E59" s="81">
        <v>431547.25042410998</v>
      </c>
      <c r="F59" s="258">
        <v>445858</v>
      </c>
      <c r="G59" s="76">
        <f t="shared" si="2"/>
        <v>86.179808649979151</v>
      </c>
      <c r="H59" s="76">
        <f t="shared" si="3"/>
        <v>83.938535916802849</v>
      </c>
      <c r="I59" s="261">
        <f t="shared" si="4"/>
        <v>6.074830219030086</v>
      </c>
      <c r="J59" s="261">
        <f t="shared" si="5"/>
        <v>3.3161489412401308</v>
      </c>
      <c r="K59" s="259">
        <f>'CD Ratio_2'!C59+'CD Ratio_2'!D59+'CD Ratio_2'!E59</f>
        <v>531172</v>
      </c>
      <c r="L59" s="259">
        <f t="shared" si="11"/>
        <v>0</v>
      </c>
      <c r="M59" s="259">
        <f>'CD Ratio_2'!F59+'CD Ratio_2'!G59+'CD Ratio_2'!H59</f>
        <v>445858</v>
      </c>
      <c r="N59" s="259">
        <f t="shared" si="1"/>
        <v>0</v>
      </c>
      <c r="O59" s="391">
        <f t="shared" si="6"/>
        <v>932299.40708861011</v>
      </c>
      <c r="P59" s="391">
        <f t="shared" si="7"/>
        <v>977030</v>
      </c>
      <c r="Q59" s="391">
        <f t="shared" si="8"/>
        <v>44730.592911389889</v>
      </c>
      <c r="R59" s="394">
        <f t="shared" si="9"/>
        <v>4.7978785110541731</v>
      </c>
      <c r="S59" s="160"/>
      <c r="T59" s="160"/>
      <c r="U59" s="160"/>
      <c r="V59" s="160"/>
      <c r="W59" s="160"/>
      <c r="X59" s="160"/>
    </row>
    <row r="60" spans="1:24" ht="15" customHeight="1" x14ac:dyDescent="0.2">
      <c r="A60" s="72"/>
      <c r="B60" s="84" t="s">
        <v>231</v>
      </c>
      <c r="C60" s="85">
        <f>SUM(C57:C59)</f>
        <v>1733251.1566645</v>
      </c>
      <c r="D60" s="85">
        <f t="shared" ref="D60:F60" si="13">SUM(D57:D59)</f>
        <v>1806276.4100000001</v>
      </c>
      <c r="E60" s="85">
        <f t="shared" si="13"/>
        <v>1070538.2504241099</v>
      </c>
      <c r="F60" s="85">
        <f t="shared" si="13"/>
        <v>1106633.2</v>
      </c>
      <c r="G60" s="86">
        <f t="shared" si="2"/>
        <v>61.764750382989682</v>
      </c>
      <c r="H60" s="86">
        <f t="shared" si="3"/>
        <v>61.265994167526102</v>
      </c>
      <c r="I60" s="261">
        <f t="shared" si="4"/>
        <v>4.213195130706346</v>
      </c>
      <c r="J60" s="261">
        <f t="shared" si="5"/>
        <v>3.3716636992270503</v>
      </c>
      <c r="K60" s="259">
        <f>'CD Ratio_2'!C60+'CD Ratio_2'!D60+'CD Ratio_2'!E60</f>
        <v>1806276.4100000001</v>
      </c>
      <c r="L60" s="259">
        <f t="shared" si="11"/>
        <v>0</v>
      </c>
      <c r="M60" s="259">
        <f>'CD Ratio_2'!F60+'CD Ratio_2'!G60+'CD Ratio_2'!H60</f>
        <v>1106633.2</v>
      </c>
      <c r="N60" s="259">
        <f t="shared" si="1"/>
        <v>0</v>
      </c>
      <c r="O60" s="391">
        <f t="shared" si="6"/>
        <v>2803789.4070886099</v>
      </c>
      <c r="P60" s="391">
        <f t="shared" si="7"/>
        <v>2912909.6100000003</v>
      </c>
      <c r="Q60" s="391">
        <f t="shared" si="8"/>
        <v>109120.20291139046</v>
      </c>
      <c r="R60" s="394">
        <f t="shared" si="9"/>
        <v>3.8918829864864337</v>
      </c>
      <c r="S60" s="160"/>
      <c r="T60" s="160"/>
      <c r="U60" s="160"/>
      <c r="V60" s="160"/>
      <c r="W60" s="160"/>
      <c r="X60" s="160"/>
    </row>
    <row r="61" spans="1:24" ht="15" customHeight="1" x14ac:dyDescent="0.2">
      <c r="A61" s="72">
        <v>53</v>
      </c>
      <c r="B61" s="73" t="s">
        <v>234</v>
      </c>
      <c r="C61" s="74">
        <v>1844674</v>
      </c>
      <c r="D61" s="257">
        <v>1828654.99</v>
      </c>
      <c r="E61" s="74">
        <v>1141298</v>
      </c>
      <c r="F61" s="258">
        <v>1860135.99</v>
      </c>
      <c r="G61" s="76">
        <f t="shared" si="2"/>
        <v>61.869902215784471</v>
      </c>
      <c r="H61" s="76">
        <f t="shared" si="3"/>
        <v>101.72153851722462</v>
      </c>
      <c r="I61" s="261">
        <f t="shared" si="4"/>
        <v>-0.86839246392587577</v>
      </c>
      <c r="J61" s="261">
        <f t="shared" si="5"/>
        <v>62.984250388592635</v>
      </c>
      <c r="K61" s="259">
        <f>'CD Ratio_2'!C61+'CD Ratio_2'!D61+'CD Ratio_2'!E61</f>
        <v>1828654.99</v>
      </c>
      <c r="L61" s="259">
        <f t="shared" si="11"/>
        <v>0</v>
      </c>
      <c r="M61" s="259">
        <f>'CD Ratio_2'!F61+'CD Ratio_2'!G61+'CD Ratio_2'!H61</f>
        <v>1860135.99</v>
      </c>
      <c r="N61" s="259">
        <f t="shared" si="1"/>
        <v>0</v>
      </c>
      <c r="O61" s="391">
        <f t="shared" si="6"/>
        <v>2985972</v>
      </c>
      <c r="P61" s="391">
        <f t="shared" si="7"/>
        <v>3688790.98</v>
      </c>
      <c r="Q61" s="391">
        <f t="shared" si="8"/>
        <v>702818.98</v>
      </c>
      <c r="R61" s="394">
        <f t="shared" si="9"/>
        <v>23.537360028828132</v>
      </c>
      <c r="S61" s="160"/>
      <c r="T61" s="160"/>
      <c r="U61" s="160"/>
      <c r="V61" s="160"/>
      <c r="W61" s="160"/>
      <c r="X61" s="160"/>
    </row>
    <row r="62" spans="1:24" ht="15" customHeight="1" x14ac:dyDescent="0.2">
      <c r="A62" s="266"/>
      <c r="B62" s="267" t="s">
        <v>239</v>
      </c>
      <c r="C62" s="268">
        <f>SUM(C61:C61)</f>
        <v>1844674</v>
      </c>
      <c r="D62" s="268">
        <f>SUM(D61:D61)</f>
        <v>1828654.99</v>
      </c>
      <c r="E62" s="268">
        <f>SUM(E61:E61)</f>
        <v>1141298</v>
      </c>
      <c r="F62" s="268">
        <f>SUM(F61:F61)</f>
        <v>1860135.99</v>
      </c>
      <c r="G62" s="269">
        <f t="shared" si="2"/>
        <v>61.869902215784471</v>
      </c>
      <c r="H62" s="269">
        <f t="shared" si="3"/>
        <v>101.72153851722462</v>
      </c>
      <c r="I62" s="261">
        <f t="shared" si="4"/>
        <v>-0.86839246392587577</v>
      </c>
      <c r="J62" s="261">
        <f t="shared" si="5"/>
        <v>62.984250388592635</v>
      </c>
      <c r="K62" s="259">
        <f>'CD Ratio_2'!C62+'CD Ratio_2'!D62+'CD Ratio_2'!E62</f>
        <v>1828654.99</v>
      </c>
      <c r="L62" s="259">
        <f t="shared" si="11"/>
        <v>0</v>
      </c>
      <c r="M62" s="259">
        <f>'CD Ratio_2'!F62+'CD Ratio_2'!G62+'CD Ratio_2'!H62</f>
        <v>1860135.99</v>
      </c>
      <c r="N62" s="259">
        <f t="shared" si="1"/>
        <v>0</v>
      </c>
      <c r="O62" s="391">
        <f t="shared" si="6"/>
        <v>2985972</v>
      </c>
      <c r="P62" s="391">
        <f t="shared" si="7"/>
        <v>3688790.98</v>
      </c>
      <c r="Q62" s="391">
        <f t="shared" si="8"/>
        <v>702818.98</v>
      </c>
      <c r="R62" s="394">
        <f t="shared" si="9"/>
        <v>23.537360028828132</v>
      </c>
      <c r="S62" s="160"/>
      <c r="T62" s="160"/>
      <c r="U62" s="160"/>
      <c r="V62" s="160"/>
      <c r="W62" s="160"/>
      <c r="X62" s="160"/>
    </row>
    <row r="63" spans="1:24" ht="15" customHeight="1" x14ac:dyDescent="0.2">
      <c r="A63" s="72"/>
      <c r="B63" s="84" t="s">
        <v>240</v>
      </c>
      <c r="C63" s="85">
        <f>C62+C60+C56+C33</f>
        <v>28979731.396264501</v>
      </c>
      <c r="D63" s="85">
        <f>D62+D60+D56+D33</f>
        <v>30401278.039999995</v>
      </c>
      <c r="E63" s="85">
        <f>E62+E60+E56+E33</f>
        <v>20893424.888788268</v>
      </c>
      <c r="F63" s="85">
        <f>F62+F60+F56+F33</f>
        <v>22004242.350000001</v>
      </c>
      <c r="G63" s="86">
        <f t="shared" si="2"/>
        <v>72.096682343582515</v>
      </c>
      <c r="H63" s="86">
        <f t="shared" si="3"/>
        <v>72.379333267003673</v>
      </c>
      <c r="I63" s="261">
        <f t="shared" si="4"/>
        <v>4.9053133871307466</v>
      </c>
      <c r="J63" s="261">
        <f t="shared" si="5"/>
        <v>5.3165886738263541</v>
      </c>
      <c r="K63" s="259">
        <f>'CD Ratio_2'!C63+'CD Ratio_2'!D63+'CD Ratio_2'!E63</f>
        <v>30401277.409999996</v>
      </c>
      <c r="L63" s="259">
        <f t="shared" si="11"/>
        <v>0.62999999895691872</v>
      </c>
      <c r="M63" s="259">
        <f>'CD Ratio_2'!F63+'CD Ratio_2'!G63+'CD Ratio_2'!H63</f>
        <v>22004242.25</v>
      </c>
      <c r="N63" s="259">
        <f t="shared" si="1"/>
        <v>0.10000000149011612</v>
      </c>
      <c r="O63" s="391">
        <f t="shared" si="6"/>
        <v>49873156.285052769</v>
      </c>
      <c r="P63" s="391">
        <f t="shared" si="7"/>
        <v>52405520.390000001</v>
      </c>
      <c r="Q63" s="391">
        <f t="shared" si="8"/>
        <v>2532364.1049472317</v>
      </c>
      <c r="R63" s="394">
        <f t="shared" si="9"/>
        <v>5.0776094668509959</v>
      </c>
      <c r="S63" s="160"/>
      <c r="T63" s="160"/>
      <c r="U63" s="160"/>
      <c r="V63" s="160"/>
      <c r="W63" s="160"/>
      <c r="X63" s="160"/>
    </row>
    <row r="64" spans="1:24" x14ac:dyDescent="0.2">
      <c r="A64" s="177"/>
      <c r="B64" s="176"/>
      <c r="C64" s="174"/>
      <c r="D64" s="174"/>
      <c r="E64" s="174"/>
      <c r="F64" s="175"/>
      <c r="G64" s="265"/>
      <c r="H64" s="176"/>
      <c r="I64" s="160"/>
      <c r="J64" s="160"/>
      <c r="K64" s="160"/>
      <c r="L64" s="160"/>
      <c r="M64" s="160"/>
      <c r="N64" s="160"/>
      <c r="O64" s="160"/>
      <c r="P64" s="160"/>
      <c r="Q64" s="160"/>
      <c r="R64" s="392"/>
      <c r="S64" s="160"/>
      <c r="T64" s="160"/>
      <c r="U64" s="160"/>
      <c r="V64" s="160"/>
      <c r="W64" s="160"/>
      <c r="X64" s="160"/>
    </row>
    <row r="65" spans="1:24" x14ac:dyDescent="0.2">
      <c r="A65" s="177"/>
      <c r="B65" s="176"/>
      <c r="C65" s="174"/>
      <c r="D65" s="174"/>
      <c r="E65" s="174"/>
      <c r="F65" s="174"/>
      <c r="G65" s="175"/>
      <c r="H65" s="176"/>
      <c r="I65" s="235"/>
      <c r="J65" s="160"/>
      <c r="K65" s="160"/>
      <c r="L65" s="160"/>
      <c r="M65" s="160"/>
      <c r="N65" s="160"/>
      <c r="O65" s="160"/>
      <c r="P65" s="160"/>
      <c r="Q65" s="160"/>
      <c r="R65" s="392"/>
      <c r="S65" s="160"/>
      <c r="T65" s="160"/>
      <c r="U65" s="160"/>
      <c r="V65" s="160"/>
      <c r="W65" s="160"/>
      <c r="X65" s="160"/>
    </row>
    <row r="66" spans="1:24" x14ac:dyDescent="0.2">
      <c r="A66" s="177"/>
      <c r="B66" s="176"/>
      <c r="C66" s="174"/>
      <c r="D66" s="174"/>
      <c r="E66" s="174"/>
      <c r="F66" s="175"/>
      <c r="G66" s="176"/>
      <c r="H66" s="176"/>
      <c r="I66" s="160"/>
      <c r="J66" s="160"/>
      <c r="K66" s="160"/>
      <c r="L66" s="160"/>
      <c r="M66" s="160"/>
      <c r="N66" s="160"/>
      <c r="O66" s="160"/>
      <c r="P66" s="160"/>
      <c r="Q66" s="160"/>
      <c r="R66" s="392"/>
      <c r="S66" s="160"/>
      <c r="T66" s="160"/>
      <c r="U66" s="160"/>
      <c r="V66" s="160"/>
      <c r="W66" s="160"/>
      <c r="X66" s="160"/>
    </row>
  </sheetData>
  <sheetProtection formatCells="0" formatColumns="0" formatRows="0" insertColumns="0" insertRows="0" insertHyperlinks="0" deleteColumns="0" deleteRows="0" selectLockedCells="1" sort="0" autoFilter="0" pivotTables="0"/>
  <autoFilter ref="C5:J63"/>
  <mergeCells count="9">
    <mergeCell ref="K4:N4"/>
    <mergeCell ref="A1:H1"/>
    <mergeCell ref="G3:H3"/>
    <mergeCell ref="A2:H2"/>
    <mergeCell ref="A4:A5"/>
    <mergeCell ref="B4:B5"/>
    <mergeCell ref="C4:D4"/>
    <mergeCell ref="E4:F4"/>
    <mergeCell ref="G4:H4"/>
  </mergeCells>
  <phoneticPr fontId="9" type="noConversion"/>
  <conditionalFormatting sqref="L1:L3 L5:L1048576">
    <cfRule type="cellIs" dxfId="189" priority="2" operator="greaterThan">
      <formula>0</formula>
    </cfRule>
    <cfRule type="cellIs" dxfId="188" priority="3" operator="greaterThan">
      <formula>0</formula>
    </cfRule>
  </conditionalFormatting>
  <conditionalFormatting sqref="N1:N3 N5:N1048576">
    <cfRule type="cellIs" dxfId="187" priority="1" operator="greaterThan">
      <formula>0</formula>
    </cfRule>
  </conditionalFormatting>
  <pageMargins left="1" right="0.25" top="0.5" bottom="0.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5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6" sqref="J16"/>
    </sheetView>
  </sheetViews>
  <sheetFormatPr defaultRowHeight="12.75" x14ac:dyDescent="0.2"/>
  <cols>
    <col min="1" max="1" width="7.5703125" style="9" customWidth="1"/>
    <col min="2" max="2" width="28.28515625" style="8" customWidth="1"/>
    <col min="3" max="3" width="15.5703125" style="26" customWidth="1"/>
    <col min="4" max="4" width="17.42578125" style="26" customWidth="1"/>
    <col min="5" max="5" width="11.5703125" style="26" hidden="1" customWidth="1"/>
    <col min="6" max="6" width="12.28515625" style="8" customWidth="1"/>
    <col min="7" max="16384" width="9.140625" style="8"/>
  </cols>
  <sheetData>
    <row r="1" spans="1:8" ht="12.75" customHeight="1" x14ac:dyDescent="0.2">
      <c r="A1" s="424" t="s">
        <v>431</v>
      </c>
      <c r="B1" s="424"/>
      <c r="C1" s="424"/>
      <c r="D1" s="424"/>
      <c r="E1" s="424"/>
      <c r="F1" s="424"/>
    </row>
    <row r="2" spans="1:8" ht="14.25" x14ac:dyDescent="0.2">
      <c r="A2" s="407" t="s">
        <v>178</v>
      </c>
      <c r="B2" s="407"/>
      <c r="C2" s="407"/>
      <c r="D2" s="407"/>
      <c r="E2" s="407"/>
      <c r="F2" s="407"/>
    </row>
    <row r="3" spans="1:8" ht="14.25" customHeight="1" x14ac:dyDescent="0.2">
      <c r="A3" s="32"/>
      <c r="B3" s="30" t="s">
        <v>12</v>
      </c>
      <c r="C3" s="7"/>
      <c r="D3" s="7"/>
      <c r="E3" s="7"/>
      <c r="F3" s="43" t="s">
        <v>177</v>
      </c>
    </row>
    <row r="4" spans="1:8" s="3" customFormat="1" ht="24.95" customHeight="1" x14ac:dyDescent="0.2">
      <c r="A4" s="44" t="s">
        <v>405</v>
      </c>
      <c r="B4" s="44" t="s">
        <v>179</v>
      </c>
      <c r="C4" s="45" t="s">
        <v>14</v>
      </c>
      <c r="D4" s="46" t="s">
        <v>9</v>
      </c>
      <c r="E4" s="47"/>
      <c r="F4" s="277" t="s">
        <v>10</v>
      </c>
    </row>
    <row r="5" spans="1:8" s="3" customFormat="1" ht="15" customHeight="1" x14ac:dyDescent="0.2">
      <c r="A5" s="280">
        <v>1</v>
      </c>
      <c r="B5" s="1" t="s">
        <v>432</v>
      </c>
      <c r="C5" s="253">
        <v>56801</v>
      </c>
      <c r="D5" s="253">
        <v>100497</v>
      </c>
      <c r="E5" s="281">
        <f t="shared" ref="E5:E55" si="0">D5*100/C5</f>
        <v>176.92822309466382</v>
      </c>
      <c r="F5" s="48">
        <f>D5*100/C5</f>
        <v>176.92822309466382</v>
      </c>
    </row>
    <row r="6" spans="1:8" ht="15" x14ac:dyDescent="0.2">
      <c r="A6" s="280">
        <v>2</v>
      </c>
      <c r="B6" s="1" t="s">
        <v>433</v>
      </c>
      <c r="C6" s="253">
        <v>90973</v>
      </c>
      <c r="D6" s="253">
        <v>42176</v>
      </c>
      <c r="E6" s="281">
        <f t="shared" si="0"/>
        <v>46.361008211227507</v>
      </c>
      <c r="F6" s="48">
        <f t="shared" ref="F6:F55" si="1">D6*100/C6</f>
        <v>46.361008211227507</v>
      </c>
      <c r="G6" s="3"/>
      <c r="H6" s="3"/>
    </row>
    <row r="7" spans="1:8" ht="15" x14ac:dyDescent="0.2">
      <c r="A7" s="280">
        <v>3</v>
      </c>
      <c r="B7" s="1" t="s">
        <v>434</v>
      </c>
      <c r="C7" s="253">
        <v>247663</v>
      </c>
      <c r="D7" s="253">
        <v>584717</v>
      </c>
      <c r="E7" s="281">
        <f t="shared" si="0"/>
        <v>236.0938048880939</v>
      </c>
      <c r="F7" s="48">
        <f t="shared" si="1"/>
        <v>236.0938048880939</v>
      </c>
      <c r="G7" s="3"/>
      <c r="H7" s="3"/>
    </row>
    <row r="8" spans="1:8" ht="15" x14ac:dyDescent="0.2">
      <c r="A8" s="280">
        <v>4</v>
      </c>
      <c r="B8" s="1" t="s">
        <v>435</v>
      </c>
      <c r="C8" s="253">
        <v>140918</v>
      </c>
      <c r="D8" s="253">
        <v>134530</v>
      </c>
      <c r="E8" s="281">
        <f t="shared" si="0"/>
        <v>95.466867256134776</v>
      </c>
      <c r="F8" s="48">
        <f t="shared" si="1"/>
        <v>95.466867256134776</v>
      </c>
      <c r="G8" s="3"/>
      <c r="H8" s="3"/>
    </row>
    <row r="9" spans="1:8" ht="15" x14ac:dyDescent="0.2">
      <c r="A9" s="280">
        <v>5</v>
      </c>
      <c r="B9" s="1" t="s">
        <v>307</v>
      </c>
      <c r="C9" s="253">
        <v>301130</v>
      </c>
      <c r="D9" s="253">
        <v>154815</v>
      </c>
      <c r="E9" s="281">
        <f t="shared" si="0"/>
        <v>51.411350579483944</v>
      </c>
      <c r="F9" s="48">
        <f t="shared" si="1"/>
        <v>51.411350579483944</v>
      </c>
      <c r="G9" s="3"/>
      <c r="H9" s="3"/>
    </row>
    <row r="10" spans="1:8" ht="15" x14ac:dyDescent="0.2">
      <c r="A10" s="280">
        <v>6</v>
      </c>
      <c r="B10" s="1" t="s">
        <v>312</v>
      </c>
      <c r="C10" s="253">
        <v>145944</v>
      </c>
      <c r="D10" s="253">
        <v>162430</v>
      </c>
      <c r="E10" s="281">
        <f t="shared" si="0"/>
        <v>111.29611357781067</v>
      </c>
      <c r="F10" s="48">
        <f t="shared" si="1"/>
        <v>111.29611357781067</v>
      </c>
      <c r="G10" s="3"/>
      <c r="H10" s="3"/>
    </row>
    <row r="11" spans="1:8" ht="15" x14ac:dyDescent="0.2">
      <c r="A11" s="280">
        <v>7</v>
      </c>
      <c r="B11" s="1" t="s">
        <v>436</v>
      </c>
      <c r="C11" s="253">
        <v>434352.00000000006</v>
      </c>
      <c r="D11" s="253">
        <v>214617</v>
      </c>
      <c r="E11" s="281">
        <f t="shared" si="0"/>
        <v>49.410846502375946</v>
      </c>
      <c r="F11" s="48">
        <f t="shared" si="1"/>
        <v>49.410846502375946</v>
      </c>
      <c r="G11" s="3"/>
      <c r="H11" s="3"/>
    </row>
    <row r="12" spans="1:8" ht="15" x14ac:dyDescent="0.2">
      <c r="A12" s="280">
        <v>8</v>
      </c>
      <c r="B12" s="1" t="s">
        <v>437</v>
      </c>
      <c r="C12" s="253">
        <v>282602</v>
      </c>
      <c r="D12" s="253">
        <v>140303</v>
      </c>
      <c r="E12" s="281">
        <f t="shared" si="0"/>
        <v>49.646853171598217</v>
      </c>
      <c r="F12" s="48">
        <f t="shared" si="1"/>
        <v>49.646853171598217</v>
      </c>
      <c r="G12" s="3"/>
      <c r="H12" s="3"/>
    </row>
    <row r="13" spans="1:8" ht="15" x14ac:dyDescent="0.2">
      <c r="A13" s="280">
        <v>9</v>
      </c>
      <c r="B13" s="1" t="s">
        <v>438</v>
      </c>
      <c r="C13" s="253">
        <v>5972110</v>
      </c>
      <c r="D13" s="253">
        <v>4102431</v>
      </c>
      <c r="E13" s="281">
        <f t="shared" si="0"/>
        <v>68.693158699354171</v>
      </c>
      <c r="F13" s="48">
        <f t="shared" si="1"/>
        <v>68.693158699354171</v>
      </c>
      <c r="G13" s="3"/>
      <c r="H13" s="3"/>
    </row>
    <row r="14" spans="1:8" ht="15" x14ac:dyDescent="0.2">
      <c r="A14" s="280">
        <v>10</v>
      </c>
      <c r="B14" s="1" t="s">
        <v>439</v>
      </c>
      <c r="C14" s="253">
        <v>216167.99999999997</v>
      </c>
      <c r="D14" s="253">
        <v>190016</v>
      </c>
      <c r="E14" s="281">
        <f t="shared" si="0"/>
        <v>87.902002146478679</v>
      </c>
      <c r="F14" s="48">
        <f t="shared" si="1"/>
        <v>87.902002146478679</v>
      </c>
      <c r="G14" s="3"/>
      <c r="H14" s="3"/>
    </row>
    <row r="15" spans="1:8" ht="15" x14ac:dyDescent="0.2">
      <c r="A15" s="280">
        <v>11</v>
      </c>
      <c r="B15" s="1" t="s">
        <v>440</v>
      </c>
      <c r="C15" s="253">
        <v>429642</v>
      </c>
      <c r="D15" s="253">
        <v>190497</v>
      </c>
      <c r="E15" s="281">
        <f t="shared" si="0"/>
        <v>44.338542321281437</v>
      </c>
      <c r="F15" s="48">
        <f t="shared" si="1"/>
        <v>44.338542321281437</v>
      </c>
      <c r="G15" s="3"/>
      <c r="H15" s="3"/>
    </row>
    <row r="16" spans="1:8" ht="15" x14ac:dyDescent="0.2">
      <c r="A16" s="280">
        <v>12</v>
      </c>
      <c r="B16" s="1" t="s">
        <v>441</v>
      </c>
      <c r="C16" s="253">
        <v>659259</v>
      </c>
      <c r="D16" s="253">
        <v>362217</v>
      </c>
      <c r="E16" s="281">
        <f t="shared" si="0"/>
        <v>54.943049696704939</v>
      </c>
      <c r="F16" s="48">
        <f t="shared" si="1"/>
        <v>54.943049696704939</v>
      </c>
      <c r="G16" s="3"/>
      <c r="H16" s="3"/>
    </row>
    <row r="17" spans="1:8" ht="15" x14ac:dyDescent="0.2">
      <c r="A17" s="280">
        <v>13</v>
      </c>
      <c r="B17" s="1" t="s">
        <v>442</v>
      </c>
      <c r="C17" s="253">
        <v>235779</v>
      </c>
      <c r="D17" s="253">
        <v>136732</v>
      </c>
      <c r="E17" s="281">
        <f t="shared" si="0"/>
        <v>57.991593823029191</v>
      </c>
      <c r="F17" s="48">
        <f t="shared" si="1"/>
        <v>57.991593823029191</v>
      </c>
      <c r="G17" s="3"/>
      <c r="H17" s="3"/>
    </row>
    <row r="18" spans="1:8" ht="15" x14ac:dyDescent="0.2">
      <c r="A18" s="280">
        <v>14</v>
      </c>
      <c r="B18" s="1" t="s">
        <v>443</v>
      </c>
      <c r="C18" s="253">
        <v>156201</v>
      </c>
      <c r="D18" s="253">
        <v>122432</v>
      </c>
      <c r="E18" s="281">
        <f t="shared" si="0"/>
        <v>78.381060300510242</v>
      </c>
      <c r="F18" s="48">
        <f t="shared" si="1"/>
        <v>78.381060300510242</v>
      </c>
      <c r="G18" s="3"/>
      <c r="H18" s="3"/>
    </row>
    <row r="19" spans="1:8" ht="15" x14ac:dyDescent="0.2">
      <c r="A19" s="280">
        <v>15</v>
      </c>
      <c r="B19" s="1" t="s">
        <v>341</v>
      </c>
      <c r="C19" s="253">
        <v>373271</v>
      </c>
      <c r="D19" s="253">
        <v>363235</v>
      </c>
      <c r="E19" s="281">
        <f t="shared" si="0"/>
        <v>97.311336803555591</v>
      </c>
      <c r="F19" s="48">
        <f t="shared" si="1"/>
        <v>97.311336803555591</v>
      </c>
      <c r="G19" s="3"/>
      <c r="H19" s="3"/>
    </row>
    <row r="20" spans="1:8" ht="15" x14ac:dyDescent="0.2">
      <c r="A20" s="280">
        <v>16</v>
      </c>
      <c r="B20" s="1" t="s">
        <v>444</v>
      </c>
      <c r="C20" s="253">
        <v>523604</v>
      </c>
      <c r="D20" s="253">
        <v>482991</v>
      </c>
      <c r="E20" s="281">
        <f t="shared" si="0"/>
        <v>92.243565748160819</v>
      </c>
      <c r="F20" s="48">
        <f t="shared" si="1"/>
        <v>92.243565748160819</v>
      </c>
      <c r="G20" s="3"/>
      <c r="H20" s="3"/>
    </row>
    <row r="21" spans="1:8" ht="15" x14ac:dyDescent="0.2">
      <c r="A21" s="280">
        <v>17</v>
      </c>
      <c r="B21" s="1" t="s">
        <v>445</v>
      </c>
      <c r="C21" s="253">
        <v>77435</v>
      </c>
      <c r="D21" s="253">
        <v>31529.000000000004</v>
      </c>
      <c r="E21" s="281">
        <f t="shared" si="0"/>
        <v>40.716730160780017</v>
      </c>
      <c r="F21" s="48">
        <f t="shared" si="1"/>
        <v>40.716730160780017</v>
      </c>
      <c r="G21" s="3"/>
      <c r="H21" s="3"/>
    </row>
    <row r="22" spans="1:8" ht="15" x14ac:dyDescent="0.2">
      <c r="A22" s="280">
        <v>18</v>
      </c>
      <c r="B22" s="1" t="s">
        <v>446</v>
      </c>
      <c r="C22" s="253">
        <v>252127</v>
      </c>
      <c r="D22" s="253">
        <v>214786</v>
      </c>
      <c r="E22" s="281">
        <f t="shared" si="0"/>
        <v>85.189606825131776</v>
      </c>
      <c r="F22" s="48">
        <f t="shared" si="1"/>
        <v>85.189606825131776</v>
      </c>
      <c r="G22" s="3"/>
      <c r="H22" s="3"/>
    </row>
    <row r="23" spans="1:8" ht="15" x14ac:dyDescent="0.2">
      <c r="A23" s="280">
        <v>19</v>
      </c>
      <c r="B23" s="1" t="s">
        <v>447</v>
      </c>
      <c r="C23" s="253">
        <v>1526521</v>
      </c>
      <c r="D23" s="253">
        <v>623180</v>
      </c>
      <c r="E23" s="281">
        <f t="shared" si="0"/>
        <v>40.82354582740755</v>
      </c>
      <c r="F23" s="48">
        <f t="shared" si="1"/>
        <v>40.82354582740755</v>
      </c>
      <c r="G23" s="3"/>
      <c r="H23" s="3"/>
    </row>
    <row r="24" spans="1:8" ht="15" x14ac:dyDescent="0.2">
      <c r="A24" s="280">
        <v>20</v>
      </c>
      <c r="B24" s="1" t="s">
        <v>448</v>
      </c>
      <c r="C24" s="253">
        <v>136314</v>
      </c>
      <c r="D24" s="253">
        <v>203989</v>
      </c>
      <c r="E24" s="281">
        <f t="shared" si="0"/>
        <v>149.64640462461671</v>
      </c>
      <c r="F24" s="48">
        <f t="shared" si="1"/>
        <v>149.64640462461671</v>
      </c>
      <c r="G24" s="3"/>
      <c r="H24" s="3"/>
    </row>
    <row r="25" spans="1:8" ht="15" x14ac:dyDescent="0.2">
      <c r="A25" s="280">
        <v>21</v>
      </c>
      <c r="B25" s="1" t="s">
        <v>449</v>
      </c>
      <c r="C25" s="253">
        <v>486375</v>
      </c>
      <c r="D25" s="253">
        <v>493417</v>
      </c>
      <c r="E25" s="281">
        <f t="shared" si="0"/>
        <v>101.44785402210229</v>
      </c>
      <c r="F25" s="48">
        <f t="shared" si="1"/>
        <v>101.44785402210229</v>
      </c>
      <c r="G25" s="3"/>
      <c r="H25" s="3"/>
    </row>
    <row r="26" spans="1:8" ht="15" x14ac:dyDescent="0.2">
      <c r="A26" s="280">
        <v>22</v>
      </c>
      <c r="B26" s="1" t="s">
        <v>450</v>
      </c>
      <c r="C26" s="253">
        <v>4218793</v>
      </c>
      <c r="D26" s="253">
        <v>4552221</v>
      </c>
      <c r="E26" s="281">
        <f t="shared" si="0"/>
        <v>107.90339796240299</v>
      </c>
      <c r="F26" s="48">
        <f t="shared" si="1"/>
        <v>107.90339796240299</v>
      </c>
      <c r="G26" s="3"/>
      <c r="H26" s="3"/>
    </row>
    <row r="27" spans="1:8" ht="15" x14ac:dyDescent="0.2">
      <c r="A27" s="280">
        <v>23</v>
      </c>
      <c r="B27" s="1" t="s">
        <v>451</v>
      </c>
      <c r="C27" s="253">
        <v>1956786</v>
      </c>
      <c r="D27" s="253">
        <v>783907</v>
      </c>
      <c r="E27" s="281">
        <f t="shared" si="0"/>
        <v>40.060946879219294</v>
      </c>
      <c r="F27" s="48">
        <f t="shared" si="1"/>
        <v>40.060946879219294</v>
      </c>
      <c r="G27" s="3"/>
      <c r="H27" s="3"/>
    </row>
    <row r="28" spans="1:8" ht="15" x14ac:dyDescent="0.2">
      <c r="A28" s="280">
        <v>24</v>
      </c>
      <c r="B28" s="1" t="s">
        <v>452</v>
      </c>
      <c r="C28" s="253">
        <v>148064</v>
      </c>
      <c r="D28" s="253">
        <v>126753</v>
      </c>
      <c r="E28" s="281">
        <f t="shared" si="0"/>
        <v>85.606899719040413</v>
      </c>
      <c r="F28" s="48">
        <f t="shared" si="1"/>
        <v>85.606899719040413</v>
      </c>
      <c r="G28" s="3"/>
      <c r="H28" s="3"/>
    </row>
    <row r="29" spans="1:8" ht="15" x14ac:dyDescent="0.2">
      <c r="A29" s="280">
        <v>25</v>
      </c>
      <c r="B29" s="1" t="s">
        <v>453</v>
      </c>
      <c r="C29" s="254">
        <v>359525</v>
      </c>
      <c r="D29" s="254">
        <v>200655</v>
      </c>
      <c r="E29" s="281">
        <f t="shared" si="0"/>
        <v>55.811139698212919</v>
      </c>
      <c r="F29" s="48">
        <f t="shared" si="1"/>
        <v>55.811139698212919</v>
      </c>
      <c r="G29" s="3"/>
      <c r="H29" s="3"/>
    </row>
    <row r="30" spans="1:8" ht="15" x14ac:dyDescent="0.2">
      <c r="A30" s="280">
        <v>26</v>
      </c>
      <c r="B30" s="1" t="s">
        <v>454</v>
      </c>
      <c r="C30" s="253">
        <v>275720</v>
      </c>
      <c r="D30" s="253">
        <v>305403</v>
      </c>
      <c r="E30" s="281">
        <f t="shared" si="0"/>
        <v>110.76563180037719</v>
      </c>
      <c r="F30" s="48">
        <f t="shared" si="1"/>
        <v>110.76563180037719</v>
      </c>
      <c r="G30" s="3"/>
      <c r="H30" s="3"/>
    </row>
    <row r="31" spans="1:8" ht="15" x14ac:dyDescent="0.2">
      <c r="A31" s="280">
        <v>27</v>
      </c>
      <c r="B31" s="1" t="s">
        <v>455</v>
      </c>
      <c r="C31" s="253">
        <v>483614.99999999994</v>
      </c>
      <c r="D31" s="253">
        <v>371918</v>
      </c>
      <c r="E31" s="281">
        <f t="shared" si="0"/>
        <v>76.903735409364899</v>
      </c>
      <c r="F31" s="48">
        <f t="shared" si="1"/>
        <v>76.903735409364899</v>
      </c>
      <c r="G31" s="3"/>
      <c r="H31" s="3"/>
    </row>
    <row r="32" spans="1:8" ht="15" x14ac:dyDescent="0.2">
      <c r="A32" s="280">
        <v>28</v>
      </c>
      <c r="B32" s="1" t="s">
        <v>456</v>
      </c>
      <c r="C32" s="253">
        <v>228457.00000000003</v>
      </c>
      <c r="D32" s="253">
        <v>107590.00000000001</v>
      </c>
      <c r="E32" s="281">
        <f t="shared" si="0"/>
        <v>47.094201534643283</v>
      </c>
      <c r="F32" s="48">
        <f t="shared" si="1"/>
        <v>47.094201534643283</v>
      </c>
      <c r="G32" s="3"/>
      <c r="H32" s="3"/>
    </row>
    <row r="33" spans="1:8" ht="15" x14ac:dyDescent="0.2">
      <c r="A33" s="280">
        <v>29</v>
      </c>
      <c r="B33" s="1" t="s">
        <v>457</v>
      </c>
      <c r="C33" s="253">
        <v>299840</v>
      </c>
      <c r="D33" s="253">
        <v>255498</v>
      </c>
      <c r="E33" s="281">
        <f t="shared" si="0"/>
        <v>85.211446104589115</v>
      </c>
      <c r="F33" s="48">
        <f t="shared" si="1"/>
        <v>85.211446104589115</v>
      </c>
      <c r="G33" s="3"/>
      <c r="H33" s="3"/>
    </row>
    <row r="34" spans="1:8" ht="15" x14ac:dyDescent="0.2">
      <c r="A34" s="280">
        <v>30</v>
      </c>
      <c r="B34" s="1" t="s">
        <v>458</v>
      </c>
      <c r="C34" s="253">
        <v>306238</v>
      </c>
      <c r="D34" s="253">
        <v>209321</v>
      </c>
      <c r="E34" s="281">
        <f t="shared" si="0"/>
        <v>68.352392583546134</v>
      </c>
      <c r="F34" s="48">
        <f t="shared" si="1"/>
        <v>68.352392583546134</v>
      </c>
      <c r="G34" s="3"/>
      <c r="H34" s="3"/>
    </row>
    <row r="35" spans="1:8" ht="15" x14ac:dyDescent="0.2">
      <c r="A35" s="280">
        <v>31</v>
      </c>
      <c r="B35" s="1" t="s">
        <v>459</v>
      </c>
      <c r="C35" s="253">
        <v>221541</v>
      </c>
      <c r="D35" s="253">
        <v>217675</v>
      </c>
      <c r="E35" s="281">
        <f t="shared" si="0"/>
        <v>98.254950550913833</v>
      </c>
      <c r="F35" s="48">
        <f t="shared" si="1"/>
        <v>98.254950550913833</v>
      </c>
      <c r="G35" s="3"/>
      <c r="H35" s="3"/>
    </row>
    <row r="36" spans="1:8" ht="15" x14ac:dyDescent="0.2">
      <c r="A36" s="280">
        <v>32</v>
      </c>
      <c r="B36" s="1" t="s">
        <v>460</v>
      </c>
      <c r="C36" s="253">
        <v>240941</v>
      </c>
      <c r="D36" s="253">
        <v>185151</v>
      </c>
      <c r="E36" s="281">
        <f t="shared" si="0"/>
        <v>76.844953743862604</v>
      </c>
      <c r="F36" s="48">
        <f t="shared" si="1"/>
        <v>76.844953743862604</v>
      </c>
      <c r="G36" s="3"/>
      <c r="H36" s="3"/>
    </row>
    <row r="37" spans="1:8" ht="15" x14ac:dyDescent="0.2">
      <c r="A37" s="280">
        <v>33</v>
      </c>
      <c r="B37" s="1" t="s">
        <v>368</v>
      </c>
      <c r="C37" s="253">
        <v>177660</v>
      </c>
      <c r="D37" s="253">
        <v>78673</v>
      </c>
      <c r="E37" s="281">
        <f t="shared" si="0"/>
        <v>44.282899921197796</v>
      </c>
      <c r="F37" s="48">
        <f t="shared" si="1"/>
        <v>44.282899921197796</v>
      </c>
      <c r="G37" s="3"/>
      <c r="H37" s="3"/>
    </row>
    <row r="38" spans="1:8" ht="15" x14ac:dyDescent="0.2">
      <c r="A38" s="280">
        <v>34</v>
      </c>
      <c r="B38" s="1" t="s">
        <v>461</v>
      </c>
      <c r="C38" s="253">
        <v>239121.99999999997</v>
      </c>
      <c r="D38" s="253">
        <v>374092</v>
      </c>
      <c r="E38" s="281">
        <f t="shared" si="0"/>
        <v>156.44399093349841</v>
      </c>
      <c r="F38" s="48">
        <f t="shared" si="1"/>
        <v>156.44399093349841</v>
      </c>
      <c r="G38" s="3"/>
      <c r="H38" s="3"/>
    </row>
    <row r="39" spans="1:8" ht="15" x14ac:dyDescent="0.2">
      <c r="A39" s="280">
        <v>35</v>
      </c>
      <c r="B39" s="1" t="s">
        <v>462</v>
      </c>
      <c r="C39" s="253">
        <v>224219.99999999997</v>
      </c>
      <c r="D39" s="253">
        <v>296534</v>
      </c>
      <c r="E39" s="281">
        <f t="shared" si="0"/>
        <v>132.25136027116227</v>
      </c>
      <c r="F39" s="48">
        <f t="shared" si="1"/>
        <v>132.25136027116227</v>
      </c>
      <c r="G39" s="3"/>
      <c r="H39" s="3"/>
    </row>
    <row r="40" spans="1:8" ht="15" x14ac:dyDescent="0.2">
      <c r="A40" s="280">
        <v>36</v>
      </c>
      <c r="B40" s="1" t="s">
        <v>463</v>
      </c>
      <c r="C40" s="253">
        <v>458420</v>
      </c>
      <c r="D40" s="253">
        <v>328587</v>
      </c>
      <c r="E40" s="281">
        <f t="shared" si="0"/>
        <v>71.678155403341918</v>
      </c>
      <c r="F40" s="48">
        <f t="shared" si="1"/>
        <v>71.678155403341918</v>
      </c>
      <c r="G40" s="3"/>
      <c r="H40" s="3"/>
    </row>
    <row r="41" spans="1:8" ht="15" x14ac:dyDescent="0.2">
      <c r="A41" s="280">
        <v>37</v>
      </c>
      <c r="B41" s="1" t="s">
        <v>464</v>
      </c>
      <c r="C41" s="253">
        <v>741832</v>
      </c>
      <c r="D41" s="253">
        <v>398491</v>
      </c>
      <c r="E41" s="281">
        <f t="shared" si="0"/>
        <v>53.717148896246051</v>
      </c>
      <c r="F41" s="48">
        <f t="shared" si="1"/>
        <v>53.717148896246051</v>
      </c>
      <c r="G41" s="3"/>
      <c r="H41" s="3"/>
    </row>
    <row r="42" spans="1:8" ht="15" x14ac:dyDescent="0.2">
      <c r="A42" s="280">
        <v>38</v>
      </c>
      <c r="B42" s="1" t="s">
        <v>465</v>
      </c>
      <c r="C42" s="253">
        <v>793778</v>
      </c>
      <c r="D42" s="253">
        <v>357524</v>
      </c>
      <c r="E42" s="281">
        <f t="shared" si="0"/>
        <v>45.04080485979707</v>
      </c>
      <c r="F42" s="48">
        <f t="shared" si="1"/>
        <v>45.04080485979707</v>
      </c>
      <c r="G42" s="3"/>
      <c r="H42" s="3"/>
    </row>
    <row r="43" spans="1:8" ht="15" x14ac:dyDescent="0.2">
      <c r="A43" s="280">
        <v>39</v>
      </c>
      <c r="B43" s="1" t="s">
        <v>466</v>
      </c>
      <c r="C43" s="253">
        <v>635757</v>
      </c>
      <c r="D43" s="253">
        <v>284326</v>
      </c>
      <c r="E43" s="281">
        <f t="shared" si="0"/>
        <v>44.72243325673174</v>
      </c>
      <c r="F43" s="48">
        <f t="shared" si="1"/>
        <v>44.72243325673174</v>
      </c>
      <c r="G43" s="3"/>
      <c r="H43" s="3"/>
    </row>
    <row r="44" spans="1:8" ht="15" x14ac:dyDescent="0.2">
      <c r="A44" s="280">
        <v>40</v>
      </c>
      <c r="B44" s="1" t="s">
        <v>386</v>
      </c>
      <c r="C44" s="253">
        <v>254700</v>
      </c>
      <c r="D44" s="253">
        <v>360200</v>
      </c>
      <c r="E44" s="281">
        <f t="shared" si="0"/>
        <v>141.421279937181</v>
      </c>
      <c r="F44" s="48">
        <f t="shared" si="1"/>
        <v>141.421279937181</v>
      </c>
      <c r="G44" s="3"/>
      <c r="H44" s="3"/>
    </row>
    <row r="45" spans="1:8" ht="15" x14ac:dyDescent="0.2">
      <c r="A45" s="280">
        <v>41</v>
      </c>
      <c r="B45" s="1" t="s">
        <v>467</v>
      </c>
      <c r="C45" s="253">
        <v>249544.99999999997</v>
      </c>
      <c r="D45" s="253">
        <v>161966</v>
      </c>
      <c r="E45" s="281">
        <f t="shared" si="0"/>
        <v>64.904526237752719</v>
      </c>
      <c r="F45" s="48">
        <f t="shared" si="1"/>
        <v>64.904526237752719</v>
      </c>
      <c r="G45" s="3"/>
      <c r="H45" s="3"/>
    </row>
    <row r="46" spans="1:8" ht="15" x14ac:dyDescent="0.2">
      <c r="A46" s="280">
        <v>42</v>
      </c>
      <c r="B46" s="1" t="s">
        <v>468</v>
      </c>
      <c r="C46" s="253">
        <v>325780</v>
      </c>
      <c r="D46" s="253">
        <v>90245</v>
      </c>
      <c r="E46" s="281">
        <f t="shared" si="0"/>
        <v>27.701209405120018</v>
      </c>
      <c r="F46" s="48">
        <f t="shared" si="1"/>
        <v>27.701209405120018</v>
      </c>
      <c r="G46" s="3"/>
      <c r="H46" s="3"/>
    </row>
    <row r="47" spans="1:8" ht="15" x14ac:dyDescent="0.2">
      <c r="A47" s="280">
        <v>43</v>
      </c>
      <c r="B47" s="1" t="s">
        <v>469</v>
      </c>
      <c r="C47" s="253">
        <v>176932</v>
      </c>
      <c r="D47" s="253">
        <v>275046</v>
      </c>
      <c r="E47" s="281">
        <f t="shared" si="0"/>
        <v>155.45294237334116</v>
      </c>
      <c r="F47" s="48">
        <f t="shared" si="1"/>
        <v>155.45294237334116</v>
      </c>
      <c r="G47" s="3"/>
      <c r="H47" s="3"/>
    </row>
    <row r="48" spans="1:8" ht="15" x14ac:dyDescent="0.2">
      <c r="A48" s="280">
        <v>44</v>
      </c>
      <c r="B48" s="1" t="s">
        <v>470</v>
      </c>
      <c r="C48" s="253">
        <v>71940</v>
      </c>
      <c r="D48" s="253">
        <v>83225</v>
      </c>
      <c r="E48" s="281">
        <f t="shared" si="0"/>
        <v>115.68668334723381</v>
      </c>
      <c r="F48" s="48">
        <f t="shared" si="1"/>
        <v>115.68668334723381</v>
      </c>
      <c r="G48" s="3"/>
      <c r="H48" s="3"/>
    </row>
    <row r="49" spans="1:8" ht="15" x14ac:dyDescent="0.2">
      <c r="A49" s="280">
        <v>45</v>
      </c>
      <c r="B49" s="1" t="s">
        <v>471</v>
      </c>
      <c r="C49" s="253">
        <v>293100</v>
      </c>
      <c r="D49" s="253">
        <v>167400</v>
      </c>
      <c r="E49" s="281">
        <f t="shared" si="0"/>
        <v>57.113613101330607</v>
      </c>
      <c r="F49" s="48">
        <f t="shared" si="1"/>
        <v>57.113613101330607</v>
      </c>
      <c r="G49" s="3"/>
      <c r="H49" s="3"/>
    </row>
    <row r="50" spans="1:8" ht="15" x14ac:dyDescent="0.2">
      <c r="A50" s="280">
        <v>46</v>
      </c>
      <c r="B50" s="1" t="s">
        <v>472</v>
      </c>
      <c r="C50" s="253">
        <v>212691</v>
      </c>
      <c r="D50" s="253">
        <v>244476.00000000003</v>
      </c>
      <c r="E50" s="281">
        <f t="shared" si="0"/>
        <v>114.94421484689057</v>
      </c>
      <c r="F50" s="48">
        <f t="shared" si="1"/>
        <v>114.94421484689057</v>
      </c>
      <c r="G50" s="3"/>
      <c r="H50" s="3"/>
    </row>
    <row r="51" spans="1:8" ht="15" x14ac:dyDescent="0.2">
      <c r="A51" s="280">
        <v>47</v>
      </c>
      <c r="B51" s="1" t="s">
        <v>473</v>
      </c>
      <c r="C51" s="253">
        <v>477027.00000000006</v>
      </c>
      <c r="D51" s="253">
        <v>776190</v>
      </c>
      <c r="E51" s="281">
        <f t="shared" si="0"/>
        <v>162.71406021042833</v>
      </c>
      <c r="F51" s="48">
        <f t="shared" si="1"/>
        <v>162.71406021042833</v>
      </c>
      <c r="G51" s="3"/>
      <c r="H51" s="3"/>
    </row>
    <row r="52" spans="1:8" ht="15" x14ac:dyDescent="0.2">
      <c r="A52" s="280">
        <v>48</v>
      </c>
      <c r="B52" s="1" t="s">
        <v>389</v>
      </c>
      <c r="C52" s="253">
        <v>271844</v>
      </c>
      <c r="D52" s="253">
        <v>116617</v>
      </c>
      <c r="E52" s="281">
        <f t="shared" si="0"/>
        <v>42.898500610644341</v>
      </c>
      <c r="F52" s="48">
        <f t="shared" si="1"/>
        <v>42.898500610644341</v>
      </c>
      <c r="G52" s="3"/>
      <c r="H52" s="3"/>
    </row>
    <row r="53" spans="1:8" ht="15" x14ac:dyDescent="0.2">
      <c r="A53" s="280">
        <v>49</v>
      </c>
      <c r="B53" s="1" t="s">
        <v>474</v>
      </c>
      <c r="C53" s="253">
        <v>901162.99999999988</v>
      </c>
      <c r="D53" s="253">
        <v>773069</v>
      </c>
      <c r="E53" s="281">
        <f t="shared" si="0"/>
        <v>85.78570136590163</v>
      </c>
      <c r="F53" s="48">
        <f t="shared" si="1"/>
        <v>85.78570136590163</v>
      </c>
      <c r="G53" s="3"/>
      <c r="H53" s="3"/>
    </row>
    <row r="54" spans="1:8" ht="15" x14ac:dyDescent="0.2">
      <c r="A54" s="280">
        <v>50</v>
      </c>
      <c r="B54" s="1" t="s">
        <v>475</v>
      </c>
      <c r="C54" s="253">
        <v>148805</v>
      </c>
      <c r="D54" s="253">
        <v>49531</v>
      </c>
      <c r="E54" s="281">
        <f t="shared" si="0"/>
        <v>33.285843889654245</v>
      </c>
      <c r="F54" s="48">
        <f t="shared" si="1"/>
        <v>33.285843889654245</v>
      </c>
      <c r="G54" s="3"/>
      <c r="H54" s="3"/>
    </row>
    <row r="55" spans="1:8" ht="15" x14ac:dyDescent="0.2">
      <c r="A55" s="280">
        <v>51</v>
      </c>
      <c r="B55" s="1" t="s">
        <v>476</v>
      </c>
      <c r="C55" s="253">
        <v>327556</v>
      </c>
      <c r="D55" s="253">
        <v>414829</v>
      </c>
      <c r="E55" s="281">
        <f t="shared" si="0"/>
        <v>126.64368840747842</v>
      </c>
      <c r="F55" s="48">
        <f t="shared" si="1"/>
        <v>126.64368840747842</v>
      </c>
      <c r="G55" s="3"/>
      <c r="H55" s="3"/>
    </row>
  </sheetData>
  <autoFilter ref="A4:F55"/>
  <mergeCells count="2">
    <mergeCell ref="A1:F1"/>
    <mergeCell ref="A2:F2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7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K6" sqref="K6:L63"/>
    </sheetView>
  </sheetViews>
  <sheetFormatPr defaultColWidth="4.42578125" defaultRowHeight="13.5" x14ac:dyDescent="0.2"/>
  <cols>
    <col min="1" max="1" width="4.42578125" style="71"/>
    <col min="2" max="2" width="24.7109375" style="71" customWidth="1"/>
    <col min="3" max="3" width="8.7109375" style="120" bestFit="1" customWidth="1"/>
    <col min="4" max="4" width="9.5703125" style="120" bestFit="1" customWidth="1"/>
    <col min="5" max="5" width="9.42578125" style="120" customWidth="1"/>
    <col min="6" max="6" width="10" style="120" customWidth="1"/>
    <col min="7" max="7" width="7" style="120" customWidth="1"/>
    <col min="8" max="8" width="9.5703125" style="120" customWidth="1"/>
    <col min="9" max="9" width="7.85546875" style="120" customWidth="1"/>
    <col min="10" max="10" width="8.28515625" style="120" customWidth="1"/>
    <col min="11" max="12" width="9" style="120" bestFit="1" customWidth="1"/>
    <col min="13" max="13" width="9" style="118" customWidth="1"/>
    <col min="14" max="14" width="24.42578125" style="71" bestFit="1" customWidth="1"/>
    <col min="15" max="15" width="8" style="71" bestFit="1" customWidth="1"/>
    <col min="16" max="16" width="12" style="120" bestFit="1" customWidth="1"/>
    <col min="17" max="18" width="12" style="120" customWidth="1"/>
    <col min="19" max="19" width="12" style="118" bestFit="1" customWidth="1"/>
    <col min="20" max="20" width="5.28515625" style="71" customWidth="1"/>
    <col min="21" max="21" width="7.7109375" style="118" bestFit="1" customWidth="1"/>
    <col min="22" max="16384" width="4.42578125" style="71"/>
  </cols>
  <sheetData>
    <row r="1" spans="1:21" ht="15" customHeight="1" x14ac:dyDescent="0.2">
      <c r="A1" s="426" t="s">
        <v>421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21" ht="15" customHeight="1" x14ac:dyDescent="0.2">
      <c r="B2" s="117" t="s">
        <v>135</v>
      </c>
      <c r="H2" s="120" t="s">
        <v>144</v>
      </c>
      <c r="J2" s="121" t="s">
        <v>126</v>
      </c>
    </row>
    <row r="3" spans="1:21" ht="15" customHeight="1" x14ac:dyDescent="0.2">
      <c r="A3" s="427" t="s">
        <v>121</v>
      </c>
      <c r="B3" s="427" t="s">
        <v>101</v>
      </c>
      <c r="C3" s="428" t="s">
        <v>425</v>
      </c>
      <c r="D3" s="428"/>
      <c r="E3" s="428"/>
      <c r="F3" s="428"/>
      <c r="G3" s="428"/>
      <c r="H3" s="428"/>
      <c r="I3" s="428"/>
      <c r="J3" s="428"/>
      <c r="K3" s="428"/>
      <c r="L3" s="428"/>
      <c r="M3" s="425" t="s">
        <v>272</v>
      </c>
    </row>
    <row r="4" spans="1:21" ht="24.95" customHeight="1" x14ac:dyDescent="0.2">
      <c r="A4" s="427"/>
      <c r="B4" s="427"/>
      <c r="C4" s="428" t="s">
        <v>32</v>
      </c>
      <c r="D4" s="428"/>
      <c r="E4" s="428" t="s">
        <v>127</v>
      </c>
      <c r="F4" s="428"/>
      <c r="G4" s="428" t="s">
        <v>123</v>
      </c>
      <c r="H4" s="428"/>
      <c r="I4" s="428" t="s">
        <v>124</v>
      </c>
      <c r="J4" s="428"/>
      <c r="K4" s="428" t="s">
        <v>33</v>
      </c>
      <c r="L4" s="428"/>
      <c r="M4" s="425"/>
    </row>
    <row r="5" spans="1:21" ht="15" customHeight="1" x14ac:dyDescent="0.2">
      <c r="A5" s="427"/>
      <c r="B5" s="427"/>
      <c r="C5" s="262" t="s">
        <v>30</v>
      </c>
      <c r="D5" s="262" t="s">
        <v>17</v>
      </c>
      <c r="E5" s="262" t="s">
        <v>30</v>
      </c>
      <c r="F5" s="262" t="s">
        <v>17</v>
      </c>
      <c r="G5" s="262" t="s">
        <v>30</v>
      </c>
      <c r="H5" s="262" t="s">
        <v>17</v>
      </c>
      <c r="I5" s="262" t="s">
        <v>30</v>
      </c>
      <c r="J5" s="262" t="s">
        <v>17</v>
      </c>
      <c r="K5" s="262" t="s">
        <v>30</v>
      </c>
      <c r="L5" s="262" t="s">
        <v>17</v>
      </c>
      <c r="M5" s="425"/>
      <c r="O5" s="272" t="s">
        <v>30</v>
      </c>
      <c r="P5" s="273" t="s">
        <v>17</v>
      </c>
      <c r="Q5" s="273" t="s">
        <v>271</v>
      </c>
      <c r="R5" s="273"/>
    </row>
    <row r="6" spans="1:21" ht="15" customHeight="1" x14ac:dyDescent="0.2">
      <c r="A6" s="65">
        <v>1</v>
      </c>
      <c r="B6" s="107" t="s">
        <v>56</v>
      </c>
      <c r="C6" s="108">
        <v>99381</v>
      </c>
      <c r="D6" s="108">
        <v>188665</v>
      </c>
      <c r="E6" s="108">
        <v>61431</v>
      </c>
      <c r="F6" s="108">
        <v>103041</v>
      </c>
      <c r="G6" s="108">
        <v>244</v>
      </c>
      <c r="H6" s="108">
        <v>169</v>
      </c>
      <c r="I6" s="108">
        <v>4155</v>
      </c>
      <c r="J6" s="108">
        <v>20211</v>
      </c>
      <c r="K6" s="108">
        <f t="shared" ref="K6:K63" si="0">C6+G6+I6</f>
        <v>103780</v>
      </c>
      <c r="L6" s="108">
        <f t="shared" ref="L6:L63" si="1">D6+H6+J6</f>
        <v>209045</v>
      </c>
      <c r="M6" s="109">
        <f>L6*100/'CD Ratio_3(i)'!F6</f>
        <v>29.034148753397584</v>
      </c>
      <c r="N6" s="71" t="s">
        <v>56</v>
      </c>
      <c r="O6" s="71">
        <v>102891</v>
      </c>
      <c r="P6" s="120">
        <v>204836.73</v>
      </c>
      <c r="Q6" s="120">
        <f>L6-P6</f>
        <v>4208.2699999999895</v>
      </c>
      <c r="R6" s="120">
        <f>L6*100/P6</f>
        <v>102.05445087900006</v>
      </c>
      <c r="S6" s="118">
        <f>E6*100/C6</f>
        <v>61.81362634708848</v>
      </c>
      <c r="U6" s="118">
        <f>F6*100/D6</f>
        <v>54.615853496939017</v>
      </c>
    </row>
    <row r="7" spans="1:21" x14ac:dyDescent="0.2">
      <c r="A7" s="65">
        <v>2</v>
      </c>
      <c r="B7" s="107" t="s">
        <v>57</v>
      </c>
      <c r="C7" s="108">
        <v>1360</v>
      </c>
      <c r="D7" s="108">
        <v>2425.85</v>
      </c>
      <c r="E7" s="108">
        <v>1234</v>
      </c>
      <c r="F7" s="108">
        <v>2288.2800000000002</v>
      </c>
      <c r="G7" s="108">
        <v>0</v>
      </c>
      <c r="H7" s="108">
        <v>0</v>
      </c>
      <c r="I7" s="108">
        <v>7</v>
      </c>
      <c r="J7" s="108">
        <v>3093.92</v>
      </c>
      <c r="K7" s="108">
        <f t="shared" si="0"/>
        <v>1367</v>
      </c>
      <c r="L7" s="108">
        <f t="shared" si="1"/>
        <v>5519.77</v>
      </c>
      <c r="M7" s="109">
        <f>L7*100/'CD Ratio_3(i)'!F7</f>
        <v>10.96172708412066</v>
      </c>
      <c r="N7" s="71" t="s">
        <v>57</v>
      </c>
      <c r="O7" s="71">
        <v>1141</v>
      </c>
      <c r="P7" s="120">
        <v>7677</v>
      </c>
      <c r="Q7" s="120">
        <f t="shared" ref="Q7:Q63" si="2">L7-P7</f>
        <v>-2157.2299999999996</v>
      </c>
      <c r="R7" s="120">
        <f t="shared" ref="R7:R63" si="3">L7*100/P7</f>
        <v>71.900091181451089</v>
      </c>
      <c r="S7" s="118">
        <f t="shared" ref="S7:S63" si="4">E7*100/C7</f>
        <v>90.735294117647058</v>
      </c>
      <c r="U7" s="118">
        <f t="shared" ref="U7:U63" si="5">F7*100/D7</f>
        <v>94.328998083146132</v>
      </c>
    </row>
    <row r="8" spans="1:21" x14ac:dyDescent="0.2">
      <c r="A8" s="65">
        <v>3</v>
      </c>
      <c r="B8" s="107" t="s">
        <v>58</v>
      </c>
      <c r="C8" s="108">
        <v>39733</v>
      </c>
      <c r="D8" s="108">
        <v>97627</v>
      </c>
      <c r="E8" s="108">
        <v>33084</v>
      </c>
      <c r="F8" s="108">
        <v>57033</v>
      </c>
      <c r="G8" s="108">
        <v>4649</v>
      </c>
      <c r="H8" s="108">
        <v>23013</v>
      </c>
      <c r="I8" s="108">
        <v>1667</v>
      </c>
      <c r="J8" s="108">
        <v>26800</v>
      </c>
      <c r="K8" s="108">
        <f t="shared" si="0"/>
        <v>46049</v>
      </c>
      <c r="L8" s="108">
        <f t="shared" si="1"/>
        <v>147440</v>
      </c>
      <c r="M8" s="109">
        <f>L8*100/'CD Ratio_3(i)'!F8</f>
        <v>20.895691609977323</v>
      </c>
      <c r="N8" s="71" t="s">
        <v>58</v>
      </c>
      <c r="O8" s="71">
        <v>40524</v>
      </c>
      <c r="P8" s="120">
        <v>120088</v>
      </c>
      <c r="Q8" s="120">
        <f t="shared" si="2"/>
        <v>27352</v>
      </c>
      <c r="R8" s="120">
        <f t="shared" si="3"/>
        <v>122.77663047098794</v>
      </c>
      <c r="S8" s="118">
        <f t="shared" si="4"/>
        <v>83.265799209724918</v>
      </c>
      <c r="U8" s="118">
        <f t="shared" si="5"/>
        <v>58.419289745664621</v>
      </c>
    </row>
    <row r="9" spans="1:21" x14ac:dyDescent="0.2">
      <c r="A9" s="65">
        <v>4</v>
      </c>
      <c r="B9" s="107" t="s">
        <v>59</v>
      </c>
      <c r="C9" s="108">
        <v>423180</v>
      </c>
      <c r="D9" s="108">
        <v>881183</v>
      </c>
      <c r="E9" s="108">
        <v>351646</v>
      </c>
      <c r="F9" s="108">
        <v>698566</v>
      </c>
      <c r="G9" s="108">
        <v>16979</v>
      </c>
      <c r="H9" s="108">
        <v>29143</v>
      </c>
      <c r="I9" s="108">
        <v>37555</v>
      </c>
      <c r="J9" s="108">
        <v>88748</v>
      </c>
      <c r="K9" s="108">
        <f t="shared" si="0"/>
        <v>477714</v>
      </c>
      <c r="L9" s="108">
        <f t="shared" si="1"/>
        <v>999074</v>
      </c>
      <c r="M9" s="109">
        <f>L9*100/'CD Ratio_3(i)'!F9</f>
        <v>60.504212876692584</v>
      </c>
      <c r="N9" s="71" t="s">
        <v>59</v>
      </c>
      <c r="O9" s="71">
        <v>416207</v>
      </c>
      <c r="P9" s="120">
        <v>847397.88663209998</v>
      </c>
      <c r="Q9" s="120">
        <f t="shared" si="2"/>
        <v>151676.11336790002</v>
      </c>
      <c r="R9" s="120">
        <f t="shared" si="3"/>
        <v>117.89904314851691</v>
      </c>
      <c r="S9" s="118">
        <f t="shared" si="4"/>
        <v>83.09608204546528</v>
      </c>
      <c r="U9" s="118">
        <f t="shared" si="5"/>
        <v>79.275927928704931</v>
      </c>
    </row>
    <row r="10" spans="1:21" x14ac:dyDescent="0.2">
      <c r="A10" s="65">
        <v>5</v>
      </c>
      <c r="B10" s="107" t="s">
        <v>60</v>
      </c>
      <c r="C10" s="108">
        <v>50862</v>
      </c>
      <c r="D10" s="108">
        <v>91006</v>
      </c>
      <c r="E10" s="108">
        <v>46723</v>
      </c>
      <c r="F10" s="108">
        <v>69293</v>
      </c>
      <c r="G10" s="108">
        <v>153</v>
      </c>
      <c r="H10" s="108">
        <v>3764</v>
      </c>
      <c r="I10" s="108">
        <v>0</v>
      </c>
      <c r="J10" s="108">
        <v>0</v>
      </c>
      <c r="K10" s="108">
        <f t="shared" si="0"/>
        <v>51015</v>
      </c>
      <c r="L10" s="108">
        <f t="shared" si="1"/>
        <v>94770</v>
      </c>
      <c r="M10" s="109">
        <f>L10*100/'CD Ratio_3(i)'!F10</f>
        <v>30.007029186957375</v>
      </c>
      <c r="N10" s="71" t="s">
        <v>60</v>
      </c>
      <c r="O10" s="71">
        <v>51292</v>
      </c>
      <c r="P10" s="120">
        <v>114963.69</v>
      </c>
      <c r="Q10" s="120">
        <f t="shared" si="2"/>
        <v>-20193.690000000002</v>
      </c>
      <c r="R10" s="120">
        <f t="shared" si="3"/>
        <v>82.434723520095773</v>
      </c>
      <c r="S10" s="118">
        <f t="shared" si="4"/>
        <v>91.86229405056821</v>
      </c>
      <c r="U10" s="118">
        <f t="shared" si="5"/>
        <v>76.141133551633956</v>
      </c>
    </row>
    <row r="11" spans="1:21" x14ac:dyDescent="0.2">
      <c r="A11" s="65">
        <v>6</v>
      </c>
      <c r="B11" s="107" t="s">
        <v>244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f t="shared" si="0"/>
        <v>0</v>
      </c>
      <c r="L11" s="108">
        <f t="shared" si="1"/>
        <v>0</v>
      </c>
      <c r="M11" s="109">
        <f>L11*100/'CD Ratio_3(i)'!F11</f>
        <v>0</v>
      </c>
      <c r="N11" s="71" t="s">
        <v>244</v>
      </c>
      <c r="O11" s="71">
        <v>1</v>
      </c>
      <c r="P11" s="120">
        <v>0.73</v>
      </c>
      <c r="Q11" s="120">
        <f t="shared" si="2"/>
        <v>-0.73</v>
      </c>
      <c r="R11" s="120">
        <f t="shared" si="3"/>
        <v>0</v>
      </c>
      <c r="S11" s="118" t="e">
        <f t="shared" si="4"/>
        <v>#DIV/0!</v>
      </c>
      <c r="U11" s="118" t="e">
        <f t="shared" si="5"/>
        <v>#DIV/0!</v>
      </c>
    </row>
    <row r="12" spans="1:21" x14ac:dyDescent="0.2">
      <c r="A12" s="65">
        <v>7</v>
      </c>
      <c r="B12" s="110" t="s">
        <v>61</v>
      </c>
      <c r="C12" s="108">
        <f>854+E12</f>
        <v>45999</v>
      </c>
      <c r="D12" s="108">
        <v>111483</v>
      </c>
      <c r="E12" s="108">
        <v>45145</v>
      </c>
      <c r="F12" s="108">
        <v>69623</v>
      </c>
      <c r="G12" s="108">
        <v>0</v>
      </c>
      <c r="H12" s="108">
        <v>0</v>
      </c>
      <c r="I12" s="108">
        <v>60</v>
      </c>
      <c r="J12" s="108">
        <v>4938</v>
      </c>
      <c r="K12" s="108">
        <f t="shared" si="0"/>
        <v>46059</v>
      </c>
      <c r="L12" s="108">
        <f t="shared" si="1"/>
        <v>116421</v>
      </c>
      <c r="M12" s="109">
        <f>L12*100/'CD Ratio_3(i)'!F12</f>
        <v>27.97996572832124</v>
      </c>
      <c r="N12" s="71" t="s">
        <v>61</v>
      </c>
      <c r="O12" s="71">
        <v>44108</v>
      </c>
      <c r="P12" s="120">
        <v>111119.03999999999</v>
      </c>
      <c r="Q12" s="120">
        <f t="shared" si="2"/>
        <v>5301.9600000000064</v>
      </c>
      <c r="R12" s="120">
        <f t="shared" si="3"/>
        <v>104.77142351121825</v>
      </c>
      <c r="S12" s="118">
        <f t="shared" si="4"/>
        <v>98.143437900823926</v>
      </c>
      <c r="U12" s="118">
        <f t="shared" si="5"/>
        <v>62.451674246297642</v>
      </c>
    </row>
    <row r="13" spans="1:21" x14ac:dyDescent="0.2">
      <c r="A13" s="65">
        <v>8</v>
      </c>
      <c r="B13" s="107" t="s">
        <v>62</v>
      </c>
      <c r="C13" s="108">
        <v>303112</v>
      </c>
      <c r="D13" s="108">
        <v>465598</v>
      </c>
      <c r="E13" s="108">
        <v>234979</v>
      </c>
      <c r="F13" s="108">
        <v>346329</v>
      </c>
      <c r="G13" s="108">
        <v>504</v>
      </c>
      <c r="H13" s="108">
        <v>25197</v>
      </c>
      <c r="I13" s="108">
        <v>1065</v>
      </c>
      <c r="J13" s="108">
        <v>36404</v>
      </c>
      <c r="K13" s="108">
        <f t="shared" si="0"/>
        <v>304681</v>
      </c>
      <c r="L13" s="108">
        <f t="shared" si="1"/>
        <v>527199</v>
      </c>
      <c r="M13" s="109">
        <f>L13*100/'CD Ratio_3(i)'!F13</f>
        <v>42.708457219755651</v>
      </c>
      <c r="N13" s="71" t="s">
        <v>62</v>
      </c>
      <c r="O13" s="71">
        <v>302841</v>
      </c>
      <c r="P13" s="120">
        <v>499275.56</v>
      </c>
      <c r="Q13" s="120">
        <f t="shared" si="2"/>
        <v>27923.440000000002</v>
      </c>
      <c r="R13" s="120">
        <f t="shared" si="3"/>
        <v>105.59279128343475</v>
      </c>
      <c r="S13" s="118">
        <f t="shared" si="4"/>
        <v>77.522170022961816</v>
      </c>
      <c r="U13" s="118">
        <f t="shared" si="5"/>
        <v>74.383695806253456</v>
      </c>
    </row>
    <row r="14" spans="1:21" x14ac:dyDescent="0.2">
      <c r="A14" s="65">
        <v>9</v>
      </c>
      <c r="B14" s="107" t="s">
        <v>49</v>
      </c>
      <c r="C14" s="108">
        <v>11336</v>
      </c>
      <c r="D14" s="108">
        <v>34516</v>
      </c>
      <c r="E14" s="108">
        <v>7437</v>
      </c>
      <c r="F14" s="108">
        <v>21816</v>
      </c>
      <c r="G14" s="108">
        <v>2</v>
      </c>
      <c r="H14" s="108">
        <v>62</v>
      </c>
      <c r="I14" s="108">
        <v>0</v>
      </c>
      <c r="J14" s="108">
        <v>0</v>
      </c>
      <c r="K14" s="108">
        <f t="shared" si="0"/>
        <v>11338</v>
      </c>
      <c r="L14" s="108">
        <f t="shared" si="1"/>
        <v>34578</v>
      </c>
      <c r="M14" s="109">
        <f>L14*100/'CD Ratio_3(i)'!F14</f>
        <v>10.852800768339877</v>
      </c>
      <c r="N14" s="71" t="s">
        <v>49</v>
      </c>
      <c r="O14" s="71">
        <v>10985</v>
      </c>
      <c r="P14" s="120">
        <v>31279.79</v>
      </c>
      <c r="Q14" s="120">
        <f t="shared" si="2"/>
        <v>3298.2099999999991</v>
      </c>
      <c r="R14" s="120">
        <f t="shared" si="3"/>
        <v>110.54422040557178</v>
      </c>
      <c r="S14" s="118">
        <f t="shared" si="4"/>
        <v>65.605151729004945</v>
      </c>
      <c r="U14" s="118">
        <f t="shared" si="5"/>
        <v>63.205469926990382</v>
      </c>
    </row>
    <row r="15" spans="1:21" x14ac:dyDescent="0.2">
      <c r="A15" s="65">
        <v>10</v>
      </c>
      <c r="B15" s="107" t="s">
        <v>50</v>
      </c>
      <c r="C15" s="108">
        <v>10798</v>
      </c>
      <c r="D15" s="108">
        <v>21524</v>
      </c>
      <c r="E15" s="108">
        <v>7906</v>
      </c>
      <c r="F15" s="108">
        <v>16510</v>
      </c>
      <c r="G15" s="108">
        <v>183</v>
      </c>
      <c r="H15" s="108">
        <v>261</v>
      </c>
      <c r="I15" s="108">
        <v>32</v>
      </c>
      <c r="J15" s="108">
        <v>233</v>
      </c>
      <c r="K15" s="108">
        <f t="shared" si="0"/>
        <v>11013</v>
      </c>
      <c r="L15" s="108">
        <f t="shared" si="1"/>
        <v>22018</v>
      </c>
      <c r="M15" s="109">
        <f>L15*100/'CD Ratio_3(i)'!F15</f>
        <v>11.365117430857858</v>
      </c>
      <c r="N15" s="71" t="s">
        <v>50</v>
      </c>
      <c r="O15" s="71">
        <v>10827</v>
      </c>
      <c r="P15" s="120">
        <v>21216</v>
      </c>
      <c r="Q15" s="120">
        <f t="shared" si="2"/>
        <v>802</v>
      </c>
      <c r="R15" s="120">
        <f t="shared" si="3"/>
        <v>103.78016591251885</v>
      </c>
      <c r="S15" s="118">
        <f t="shared" si="4"/>
        <v>73.217262456010374</v>
      </c>
      <c r="U15" s="118">
        <f t="shared" si="5"/>
        <v>76.705073406430031</v>
      </c>
    </row>
    <row r="16" spans="1:21" x14ac:dyDescent="0.2">
      <c r="A16" s="65">
        <v>11</v>
      </c>
      <c r="B16" s="107" t="s">
        <v>82</v>
      </c>
      <c r="C16" s="108">
        <v>27717</v>
      </c>
      <c r="D16" s="108">
        <v>48611</v>
      </c>
      <c r="E16" s="108">
        <v>15476</v>
      </c>
      <c r="F16" s="108">
        <v>32489</v>
      </c>
      <c r="G16" s="108">
        <v>29</v>
      </c>
      <c r="H16" s="108">
        <v>790</v>
      </c>
      <c r="I16" s="108">
        <v>36</v>
      </c>
      <c r="J16" s="108">
        <v>1967</v>
      </c>
      <c r="K16" s="108">
        <f t="shared" si="0"/>
        <v>27782</v>
      </c>
      <c r="L16" s="108">
        <f t="shared" si="1"/>
        <v>51368</v>
      </c>
      <c r="M16" s="109">
        <f>L16*100/'CD Ratio_3(i)'!F16</f>
        <v>13.748103105420501</v>
      </c>
      <c r="N16" s="71" t="s">
        <v>245</v>
      </c>
      <c r="O16" s="71">
        <v>25669</v>
      </c>
      <c r="P16" s="120">
        <v>72726</v>
      </c>
      <c r="Q16" s="120">
        <f t="shared" si="2"/>
        <v>-21358</v>
      </c>
      <c r="R16" s="120">
        <f t="shared" si="3"/>
        <v>70.632236064131121</v>
      </c>
      <c r="S16" s="118">
        <f t="shared" si="4"/>
        <v>55.835768661832091</v>
      </c>
      <c r="U16" s="118">
        <f t="shared" si="5"/>
        <v>66.834667050667548</v>
      </c>
    </row>
    <row r="17" spans="1:21" x14ac:dyDescent="0.2">
      <c r="A17" s="65">
        <v>12</v>
      </c>
      <c r="B17" s="107" t="s">
        <v>63</v>
      </c>
      <c r="C17" s="108">
        <v>2530</v>
      </c>
      <c r="D17" s="108">
        <v>4115</v>
      </c>
      <c r="E17" s="108">
        <v>1886</v>
      </c>
      <c r="F17" s="108">
        <v>3070</v>
      </c>
      <c r="G17" s="108">
        <v>0</v>
      </c>
      <c r="H17" s="108">
        <v>0</v>
      </c>
      <c r="I17" s="108">
        <v>0</v>
      </c>
      <c r="J17" s="108">
        <v>0</v>
      </c>
      <c r="K17" s="108">
        <f t="shared" si="0"/>
        <v>2530</v>
      </c>
      <c r="L17" s="108">
        <f t="shared" si="1"/>
        <v>4115</v>
      </c>
      <c r="M17" s="109">
        <f>L17*100/'CD Ratio_3(i)'!F17</f>
        <v>12.39096552571419</v>
      </c>
      <c r="N17" s="71" t="s">
        <v>63</v>
      </c>
      <c r="O17" s="71">
        <v>2468</v>
      </c>
      <c r="P17" s="120">
        <v>3844.19</v>
      </c>
      <c r="Q17" s="120">
        <f t="shared" si="2"/>
        <v>270.80999999999995</v>
      </c>
      <c r="R17" s="120">
        <f t="shared" si="3"/>
        <v>107.04465700186515</v>
      </c>
      <c r="S17" s="118">
        <f t="shared" si="4"/>
        <v>74.545454545454547</v>
      </c>
      <c r="U17" s="118">
        <f t="shared" si="5"/>
        <v>74.605103280680439</v>
      </c>
    </row>
    <row r="18" spans="1:21" x14ac:dyDescent="0.2">
      <c r="A18" s="65">
        <v>13</v>
      </c>
      <c r="B18" s="107" t="s">
        <v>64</v>
      </c>
      <c r="C18" s="108">
        <v>2428</v>
      </c>
      <c r="D18" s="108">
        <v>5126</v>
      </c>
      <c r="E18" s="108">
        <v>1938</v>
      </c>
      <c r="F18" s="108">
        <v>3230</v>
      </c>
      <c r="G18" s="108">
        <v>5</v>
      </c>
      <c r="H18" s="108">
        <v>551</v>
      </c>
      <c r="I18" s="108">
        <v>302</v>
      </c>
      <c r="J18" s="108">
        <v>2599</v>
      </c>
      <c r="K18" s="108">
        <f t="shared" si="0"/>
        <v>2735</v>
      </c>
      <c r="L18" s="108">
        <f t="shared" si="1"/>
        <v>8276</v>
      </c>
      <c r="M18" s="109">
        <f>L18*100/'CD Ratio_3(i)'!F18</f>
        <v>8.4912532704047603</v>
      </c>
      <c r="N18" s="71" t="s">
        <v>64</v>
      </c>
      <c r="O18" s="71">
        <v>2653</v>
      </c>
      <c r="P18" s="120">
        <v>7694</v>
      </c>
      <c r="Q18" s="120">
        <f t="shared" si="2"/>
        <v>582</v>
      </c>
      <c r="R18" s="120">
        <f t="shared" si="3"/>
        <v>107.56433584611385</v>
      </c>
      <c r="S18" s="118">
        <f t="shared" si="4"/>
        <v>79.818780889621081</v>
      </c>
      <c r="U18" s="118">
        <f t="shared" si="5"/>
        <v>63.0120952009364</v>
      </c>
    </row>
    <row r="19" spans="1:21" x14ac:dyDescent="0.2">
      <c r="A19" s="65">
        <v>14</v>
      </c>
      <c r="B19" s="107" t="s">
        <v>208</v>
      </c>
      <c r="C19" s="108">
        <v>10677</v>
      </c>
      <c r="D19" s="108">
        <v>29249.16</v>
      </c>
      <c r="E19" s="108">
        <v>8638</v>
      </c>
      <c r="F19" s="108">
        <v>22630.19</v>
      </c>
      <c r="G19" s="108">
        <v>123</v>
      </c>
      <c r="H19" s="108">
        <v>1479.89</v>
      </c>
      <c r="I19" s="108">
        <v>174</v>
      </c>
      <c r="J19" s="108">
        <v>20041.12</v>
      </c>
      <c r="K19" s="108">
        <f t="shared" si="0"/>
        <v>10974</v>
      </c>
      <c r="L19" s="108">
        <f t="shared" si="1"/>
        <v>50770.17</v>
      </c>
      <c r="M19" s="109">
        <f>L19*100/'CD Ratio_3(i)'!F19</f>
        <v>24.433874274493949</v>
      </c>
      <c r="N19" s="71" t="s">
        <v>246</v>
      </c>
      <c r="O19" s="71">
        <v>11016</v>
      </c>
      <c r="P19" s="120">
        <v>52478.58</v>
      </c>
      <c r="Q19" s="120">
        <f t="shared" si="2"/>
        <v>-1708.4100000000035</v>
      </c>
      <c r="R19" s="120">
        <f t="shared" si="3"/>
        <v>96.744557493743159</v>
      </c>
      <c r="S19" s="118">
        <f t="shared" si="4"/>
        <v>80.90287533951485</v>
      </c>
      <c r="U19" s="118">
        <f t="shared" si="5"/>
        <v>77.370392859145355</v>
      </c>
    </row>
    <row r="20" spans="1:21" x14ac:dyDescent="0.2">
      <c r="A20" s="65">
        <v>15</v>
      </c>
      <c r="B20" s="111" t="s">
        <v>209</v>
      </c>
      <c r="C20" s="108">
        <v>5225</v>
      </c>
      <c r="D20" s="108">
        <v>11116.12</v>
      </c>
      <c r="E20" s="108">
        <v>4288</v>
      </c>
      <c r="F20" s="108">
        <v>8899.6299999999992</v>
      </c>
      <c r="G20" s="108">
        <v>0</v>
      </c>
      <c r="H20" s="108">
        <v>0</v>
      </c>
      <c r="I20" s="108">
        <v>0</v>
      </c>
      <c r="J20" s="108">
        <v>0</v>
      </c>
      <c r="K20" s="108">
        <f t="shared" si="0"/>
        <v>5225</v>
      </c>
      <c r="L20" s="108">
        <f t="shared" si="1"/>
        <v>11116.12</v>
      </c>
      <c r="M20" s="109">
        <f>L20*100/'CD Ratio_3(i)'!F20</f>
        <v>17.021330025877777</v>
      </c>
      <c r="N20" s="71" t="s">
        <v>247</v>
      </c>
      <c r="O20" s="71">
        <v>5114</v>
      </c>
      <c r="P20" s="120">
        <v>10317</v>
      </c>
      <c r="Q20" s="120">
        <f t="shared" si="2"/>
        <v>799.1200000000008</v>
      </c>
      <c r="R20" s="120">
        <f t="shared" si="3"/>
        <v>107.74566249878841</v>
      </c>
      <c r="S20" s="118">
        <f t="shared" si="4"/>
        <v>82.066985645933016</v>
      </c>
      <c r="U20" s="118">
        <f t="shared" si="5"/>
        <v>80.060578691126025</v>
      </c>
    </row>
    <row r="21" spans="1:21" x14ac:dyDescent="0.2">
      <c r="A21" s="65">
        <v>16</v>
      </c>
      <c r="B21" s="107" t="s">
        <v>65</v>
      </c>
      <c r="C21" s="108">
        <v>164466</v>
      </c>
      <c r="D21" s="108">
        <v>274147</v>
      </c>
      <c r="E21" s="108">
        <v>164020</v>
      </c>
      <c r="F21" s="108">
        <v>225535</v>
      </c>
      <c r="G21" s="108">
        <v>7803</v>
      </c>
      <c r="H21" s="108">
        <v>10480</v>
      </c>
      <c r="I21" s="108">
        <v>26318</v>
      </c>
      <c r="J21" s="108">
        <v>42775</v>
      </c>
      <c r="K21" s="108">
        <f t="shared" si="0"/>
        <v>198587</v>
      </c>
      <c r="L21" s="108">
        <f t="shared" si="1"/>
        <v>327402</v>
      </c>
      <c r="M21" s="109">
        <f>L21*100/'CD Ratio_3(i)'!F21</f>
        <v>24.550957923934487</v>
      </c>
      <c r="N21" s="71" t="s">
        <v>65</v>
      </c>
      <c r="O21" s="71">
        <v>196666</v>
      </c>
      <c r="P21" s="120">
        <v>316983</v>
      </c>
      <c r="Q21" s="120">
        <f t="shared" si="2"/>
        <v>10419</v>
      </c>
      <c r="R21" s="120">
        <f t="shared" si="3"/>
        <v>103.28692705917983</v>
      </c>
      <c r="S21" s="118">
        <f t="shared" si="4"/>
        <v>99.728819330439123</v>
      </c>
      <c r="U21" s="118">
        <f t="shared" si="5"/>
        <v>82.267907363567716</v>
      </c>
    </row>
    <row r="22" spans="1:21" x14ac:dyDescent="0.2">
      <c r="A22" s="65">
        <v>17</v>
      </c>
      <c r="B22" s="107" t="s">
        <v>70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f t="shared" si="0"/>
        <v>0</v>
      </c>
      <c r="L22" s="108">
        <f t="shared" si="1"/>
        <v>0</v>
      </c>
      <c r="M22" s="109">
        <f>L22*100/'CD Ratio_3(i)'!F22</f>
        <v>0</v>
      </c>
      <c r="N22" s="71" t="s">
        <v>248</v>
      </c>
      <c r="O22" s="71">
        <v>0</v>
      </c>
      <c r="P22" s="120">
        <v>0</v>
      </c>
      <c r="Q22" s="120">
        <f t="shared" si="2"/>
        <v>0</v>
      </c>
      <c r="R22" s="120" t="e">
        <f t="shared" si="3"/>
        <v>#DIV/0!</v>
      </c>
      <c r="S22" s="118" t="e">
        <f t="shared" si="4"/>
        <v>#DIV/0!</v>
      </c>
      <c r="U22" s="118" t="e">
        <f t="shared" si="5"/>
        <v>#DIV/0!</v>
      </c>
    </row>
    <row r="23" spans="1:21" x14ac:dyDescent="0.2">
      <c r="A23" s="65">
        <v>18</v>
      </c>
      <c r="B23" s="116" t="s">
        <v>210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f t="shared" si="0"/>
        <v>0</v>
      </c>
      <c r="L23" s="108">
        <f t="shared" si="1"/>
        <v>0</v>
      </c>
      <c r="M23" s="109">
        <f>L23*100/'CD Ratio_3(i)'!F23</f>
        <v>0</v>
      </c>
      <c r="N23" s="71" t="s">
        <v>249</v>
      </c>
      <c r="O23" s="71">
        <v>0</v>
      </c>
      <c r="P23" s="120">
        <v>0</v>
      </c>
      <c r="Q23" s="120">
        <f t="shared" si="2"/>
        <v>0</v>
      </c>
      <c r="R23" s="120" t="e">
        <f t="shared" si="3"/>
        <v>#DIV/0!</v>
      </c>
      <c r="S23" s="118" t="e">
        <f t="shared" si="4"/>
        <v>#DIV/0!</v>
      </c>
      <c r="U23" s="118" t="e">
        <f t="shared" si="5"/>
        <v>#DIV/0!</v>
      </c>
    </row>
    <row r="24" spans="1:21" x14ac:dyDescent="0.2">
      <c r="A24" s="65">
        <v>19</v>
      </c>
      <c r="B24" s="107" t="s">
        <v>211</v>
      </c>
      <c r="C24" s="108">
        <v>8</v>
      </c>
      <c r="D24" s="108">
        <v>29.57</v>
      </c>
      <c r="E24" s="108">
        <v>0</v>
      </c>
      <c r="F24" s="108">
        <v>0</v>
      </c>
      <c r="G24" s="108">
        <v>4</v>
      </c>
      <c r="H24" s="108">
        <v>900.05</v>
      </c>
      <c r="I24" s="108">
        <v>1</v>
      </c>
      <c r="J24" s="108">
        <v>14.81</v>
      </c>
      <c r="K24" s="108">
        <f t="shared" si="0"/>
        <v>13</v>
      </c>
      <c r="L24" s="108">
        <f t="shared" si="1"/>
        <v>944.43</v>
      </c>
      <c r="M24" s="109">
        <f>L24*100/'CD Ratio_3(i)'!F24</f>
        <v>0.88629773177300841</v>
      </c>
      <c r="N24" s="71" t="s">
        <v>250</v>
      </c>
      <c r="O24" s="71">
        <v>2</v>
      </c>
      <c r="P24" s="120">
        <v>93.22</v>
      </c>
      <c r="Q24" s="120">
        <f t="shared" si="2"/>
        <v>851.20999999999992</v>
      </c>
      <c r="R24" s="120">
        <f t="shared" si="3"/>
        <v>1013.1195022527355</v>
      </c>
      <c r="S24" s="118">
        <f t="shared" si="4"/>
        <v>0</v>
      </c>
      <c r="U24" s="118">
        <f t="shared" si="5"/>
        <v>0</v>
      </c>
    </row>
    <row r="25" spans="1:21" x14ac:dyDescent="0.2">
      <c r="A25" s="65">
        <v>20</v>
      </c>
      <c r="B25" s="263" t="s">
        <v>212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f t="shared" si="0"/>
        <v>0</v>
      </c>
      <c r="L25" s="108">
        <f t="shared" si="1"/>
        <v>0</v>
      </c>
      <c r="M25" s="109">
        <f>L25*100/'CD Ratio_3(i)'!F25</f>
        <v>0</v>
      </c>
      <c r="N25" s="71" t="s">
        <v>251</v>
      </c>
      <c r="O25" s="71">
        <v>0</v>
      </c>
      <c r="P25" s="120">
        <v>0</v>
      </c>
      <c r="Q25" s="120">
        <f t="shared" si="2"/>
        <v>0</v>
      </c>
      <c r="R25" s="120" t="e">
        <f t="shared" si="3"/>
        <v>#DIV/0!</v>
      </c>
      <c r="S25" s="118" t="e">
        <f t="shared" si="4"/>
        <v>#DIV/0!</v>
      </c>
      <c r="U25" s="118" t="e">
        <f t="shared" si="5"/>
        <v>#DIV/0!</v>
      </c>
    </row>
    <row r="26" spans="1:21" x14ac:dyDescent="0.2">
      <c r="A26" s="65">
        <v>21</v>
      </c>
      <c r="B26" s="107" t="s">
        <v>213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f t="shared" si="0"/>
        <v>0</v>
      </c>
      <c r="L26" s="108">
        <f t="shared" si="1"/>
        <v>0</v>
      </c>
      <c r="M26" s="109">
        <f>L26*100/'CD Ratio_3(i)'!F26</f>
        <v>0</v>
      </c>
      <c r="N26" s="71" t="s">
        <v>252</v>
      </c>
      <c r="O26" s="71">
        <v>353</v>
      </c>
      <c r="P26" s="120">
        <v>2717</v>
      </c>
      <c r="Q26" s="120">
        <f t="shared" si="2"/>
        <v>-2717</v>
      </c>
      <c r="R26" s="120">
        <f t="shared" si="3"/>
        <v>0</v>
      </c>
      <c r="S26" s="118" t="e">
        <f t="shared" si="4"/>
        <v>#DIV/0!</v>
      </c>
      <c r="U26" s="118" t="e">
        <f t="shared" si="5"/>
        <v>#DIV/0!</v>
      </c>
    </row>
    <row r="27" spans="1:21" x14ac:dyDescent="0.2">
      <c r="A27" s="65">
        <v>22</v>
      </c>
      <c r="B27" s="107" t="s">
        <v>71</v>
      </c>
      <c r="C27" s="108">
        <v>560729</v>
      </c>
      <c r="D27" s="108">
        <v>1027642</v>
      </c>
      <c r="E27" s="108">
        <v>560729</v>
      </c>
      <c r="F27" s="108">
        <v>1027642</v>
      </c>
      <c r="G27" s="108">
        <v>74636</v>
      </c>
      <c r="H27" s="108">
        <v>83274</v>
      </c>
      <c r="I27" s="108">
        <v>75301</v>
      </c>
      <c r="J27" s="108">
        <v>133144</v>
      </c>
      <c r="K27" s="108">
        <f t="shared" si="0"/>
        <v>710666</v>
      </c>
      <c r="L27" s="108">
        <f t="shared" si="1"/>
        <v>1244060</v>
      </c>
      <c r="M27" s="109">
        <f>L27*100/'CD Ratio_3(i)'!F27</f>
        <v>21.34646455079184</v>
      </c>
      <c r="N27" s="71" t="s">
        <v>71</v>
      </c>
      <c r="O27" s="71">
        <v>700886</v>
      </c>
      <c r="P27" s="120">
        <v>1192973</v>
      </c>
      <c r="Q27" s="120">
        <f t="shared" si="2"/>
        <v>51087</v>
      </c>
      <c r="R27" s="120">
        <f t="shared" si="3"/>
        <v>104.2823265907946</v>
      </c>
      <c r="S27" s="118">
        <f t="shared" si="4"/>
        <v>100</v>
      </c>
      <c r="U27" s="118">
        <f t="shared" si="5"/>
        <v>100</v>
      </c>
    </row>
    <row r="28" spans="1:21" x14ac:dyDescent="0.2">
      <c r="A28" s="65">
        <v>23</v>
      </c>
      <c r="B28" s="107" t="s">
        <v>66</v>
      </c>
      <c r="C28" s="108">
        <v>8341</v>
      </c>
      <c r="D28" s="108">
        <v>12214</v>
      </c>
      <c r="E28" s="108">
        <v>6595</v>
      </c>
      <c r="F28" s="108">
        <v>9371</v>
      </c>
      <c r="G28" s="108">
        <v>4</v>
      </c>
      <c r="H28" s="108">
        <v>162</v>
      </c>
      <c r="I28" s="108">
        <v>28</v>
      </c>
      <c r="J28" s="108">
        <v>391</v>
      </c>
      <c r="K28" s="108">
        <f t="shared" si="0"/>
        <v>8373</v>
      </c>
      <c r="L28" s="108">
        <f t="shared" si="1"/>
        <v>12767</v>
      </c>
      <c r="M28" s="109">
        <f>L28*100/'CD Ratio_3(i)'!F28</f>
        <v>8.6439031471200849</v>
      </c>
      <c r="N28" s="71" t="s">
        <v>66</v>
      </c>
      <c r="O28" s="71">
        <v>8169</v>
      </c>
      <c r="P28" s="120">
        <v>12045</v>
      </c>
      <c r="Q28" s="120">
        <f t="shared" si="2"/>
        <v>722</v>
      </c>
      <c r="R28" s="120">
        <f t="shared" si="3"/>
        <v>105.99418845994188</v>
      </c>
      <c r="S28" s="118">
        <f t="shared" si="4"/>
        <v>79.067258122527278</v>
      </c>
      <c r="U28" s="118">
        <f t="shared" si="5"/>
        <v>76.723432127067298</v>
      </c>
    </row>
    <row r="29" spans="1:21" x14ac:dyDescent="0.2">
      <c r="A29" s="65">
        <v>24</v>
      </c>
      <c r="B29" s="111" t="s">
        <v>214</v>
      </c>
      <c r="C29" s="108">
        <v>96172</v>
      </c>
      <c r="D29" s="108">
        <v>112100</v>
      </c>
      <c r="E29" s="108">
        <v>4102</v>
      </c>
      <c r="F29" s="108">
        <v>102011</v>
      </c>
      <c r="G29" s="108">
        <v>4391</v>
      </c>
      <c r="H29" s="108">
        <v>11837</v>
      </c>
      <c r="I29" s="108">
        <v>2419</v>
      </c>
      <c r="J29" s="108">
        <v>2606</v>
      </c>
      <c r="K29" s="108">
        <f t="shared" si="0"/>
        <v>102982</v>
      </c>
      <c r="L29" s="108">
        <f t="shared" si="1"/>
        <v>126543</v>
      </c>
      <c r="M29" s="109">
        <f>L29*100/'CD Ratio_3(i)'!F29</f>
        <v>28.620704723023554</v>
      </c>
      <c r="N29" s="71" t="s">
        <v>214</v>
      </c>
      <c r="O29" s="71">
        <v>102112</v>
      </c>
      <c r="P29" s="120">
        <v>126207</v>
      </c>
      <c r="Q29" s="120">
        <f t="shared" si="2"/>
        <v>336</v>
      </c>
      <c r="R29" s="120">
        <f t="shared" si="3"/>
        <v>100.266229289976</v>
      </c>
      <c r="S29" s="118">
        <f t="shared" si="4"/>
        <v>4.265274716133594</v>
      </c>
      <c r="U29" s="118">
        <f t="shared" si="5"/>
        <v>91</v>
      </c>
    </row>
    <row r="30" spans="1:21" x14ac:dyDescent="0.2">
      <c r="A30" s="65">
        <v>25</v>
      </c>
      <c r="B30" s="107" t="s">
        <v>67</v>
      </c>
      <c r="C30" s="108">
        <v>120354</v>
      </c>
      <c r="D30" s="108">
        <v>238245</v>
      </c>
      <c r="E30" s="108">
        <v>104184</v>
      </c>
      <c r="F30" s="108">
        <v>202535.3</v>
      </c>
      <c r="G30" s="108">
        <v>1087</v>
      </c>
      <c r="H30" s="108">
        <v>11541.11</v>
      </c>
      <c r="I30" s="108">
        <v>1447</v>
      </c>
      <c r="J30" s="108">
        <v>57557.35</v>
      </c>
      <c r="K30" s="108">
        <f t="shared" si="0"/>
        <v>122888</v>
      </c>
      <c r="L30" s="108">
        <f t="shared" si="1"/>
        <v>307343.45999999996</v>
      </c>
      <c r="M30" s="109">
        <f>L30*100/'CD Ratio_3(i)'!F30</f>
        <v>36.459263394512092</v>
      </c>
      <c r="N30" s="71" t="s">
        <v>67</v>
      </c>
      <c r="O30" s="71">
        <v>120344</v>
      </c>
      <c r="P30" s="120">
        <v>286982.32999999996</v>
      </c>
      <c r="Q30" s="120">
        <f t="shared" si="2"/>
        <v>20361.130000000005</v>
      </c>
      <c r="R30" s="120">
        <f t="shared" si="3"/>
        <v>107.09490720212635</v>
      </c>
      <c r="S30" s="118">
        <f t="shared" si="4"/>
        <v>86.56463432873025</v>
      </c>
      <c r="U30" s="118">
        <f t="shared" si="5"/>
        <v>85.01135385842305</v>
      </c>
    </row>
    <row r="31" spans="1:21" x14ac:dyDescent="0.2">
      <c r="A31" s="65">
        <v>26</v>
      </c>
      <c r="B31" s="264" t="s">
        <v>68</v>
      </c>
      <c r="C31" s="108">
        <v>353</v>
      </c>
      <c r="D31" s="108">
        <v>1112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f t="shared" si="0"/>
        <v>353</v>
      </c>
      <c r="L31" s="108">
        <f t="shared" si="1"/>
        <v>1112</v>
      </c>
      <c r="M31" s="109">
        <f>L31*100/'CD Ratio_3(i)'!F31</f>
        <v>4.2861547949429539</v>
      </c>
      <c r="N31" s="71" t="s">
        <v>68</v>
      </c>
      <c r="O31" s="71">
        <v>440</v>
      </c>
      <c r="P31" s="120">
        <v>1142</v>
      </c>
      <c r="Q31" s="120">
        <f t="shared" si="2"/>
        <v>-30</v>
      </c>
      <c r="R31" s="120">
        <f t="shared" si="3"/>
        <v>97.373029772329247</v>
      </c>
      <c r="S31" s="118">
        <f t="shared" si="4"/>
        <v>0</v>
      </c>
      <c r="U31" s="118">
        <f t="shared" si="5"/>
        <v>0</v>
      </c>
    </row>
    <row r="32" spans="1:21" x14ac:dyDescent="0.2">
      <c r="A32" s="65">
        <v>27</v>
      </c>
      <c r="B32" s="107" t="s">
        <v>51</v>
      </c>
      <c r="C32" s="108">
        <v>7386</v>
      </c>
      <c r="D32" s="108">
        <v>15183</v>
      </c>
      <c r="E32" s="108">
        <v>6795</v>
      </c>
      <c r="F32" s="108">
        <v>14248</v>
      </c>
      <c r="G32" s="108">
        <v>353</v>
      </c>
      <c r="H32" s="108">
        <v>191.45</v>
      </c>
      <c r="I32" s="108">
        <v>501</v>
      </c>
      <c r="J32" s="108">
        <v>275.55</v>
      </c>
      <c r="K32" s="108">
        <f t="shared" si="0"/>
        <v>8240</v>
      </c>
      <c r="L32" s="108">
        <f t="shared" si="1"/>
        <v>15650</v>
      </c>
      <c r="M32" s="109">
        <f>L32*100/'CD Ratio_3(i)'!F32</f>
        <v>20.121629787726448</v>
      </c>
      <c r="N32" s="71" t="s">
        <v>51</v>
      </c>
      <c r="O32" s="71">
        <v>7476</v>
      </c>
      <c r="P32" s="120">
        <v>13910.929999999998</v>
      </c>
      <c r="Q32" s="120">
        <f t="shared" si="2"/>
        <v>1739.0700000000015</v>
      </c>
      <c r="R32" s="120">
        <f t="shared" si="3"/>
        <v>112.50146467561839</v>
      </c>
      <c r="S32" s="118">
        <f t="shared" si="4"/>
        <v>91.998375304630386</v>
      </c>
      <c r="U32" s="118">
        <f t="shared" si="5"/>
        <v>93.841796746361055</v>
      </c>
    </row>
    <row r="33" spans="1:21" x14ac:dyDescent="0.2">
      <c r="A33" s="67"/>
      <c r="B33" s="114" t="s">
        <v>407</v>
      </c>
      <c r="C33" s="115">
        <f>SUM(C6:C32)</f>
        <v>1992147</v>
      </c>
      <c r="D33" s="115">
        <f t="shared" ref="D33:J33" si="6">SUM(D6:D32)</f>
        <v>3672917.6999999997</v>
      </c>
      <c r="E33" s="115">
        <f t="shared" si="6"/>
        <v>1668236</v>
      </c>
      <c r="F33" s="115">
        <f t="shared" si="6"/>
        <v>3036160.3999999994</v>
      </c>
      <c r="G33" s="115">
        <f t="shared" si="6"/>
        <v>111149</v>
      </c>
      <c r="H33" s="115">
        <f t="shared" si="6"/>
        <v>202815.5</v>
      </c>
      <c r="I33" s="115">
        <f t="shared" si="6"/>
        <v>151068</v>
      </c>
      <c r="J33" s="115">
        <f t="shared" si="6"/>
        <v>441798.74999999994</v>
      </c>
      <c r="K33" s="115">
        <f t="shared" si="0"/>
        <v>2254364</v>
      </c>
      <c r="L33" s="115">
        <f t="shared" si="1"/>
        <v>4317531.9499999993</v>
      </c>
      <c r="M33" s="106">
        <f>L33*100/'CD Ratio_3(i)'!F33</f>
        <v>28.057831476168499</v>
      </c>
      <c r="Q33" s="120">
        <f t="shared" si="2"/>
        <v>4317531.9499999993</v>
      </c>
      <c r="R33" s="120" t="e">
        <f t="shared" si="3"/>
        <v>#DIV/0!</v>
      </c>
      <c r="S33" s="118">
        <f t="shared" si="4"/>
        <v>83.740607495330408</v>
      </c>
      <c r="U33" s="118">
        <f t="shared" si="5"/>
        <v>82.663447645450901</v>
      </c>
    </row>
    <row r="34" spans="1:21" x14ac:dyDescent="0.2">
      <c r="A34" s="65">
        <v>28</v>
      </c>
      <c r="B34" s="66" t="s">
        <v>48</v>
      </c>
      <c r="C34" s="108">
        <v>94531</v>
      </c>
      <c r="D34" s="108">
        <v>63779.17</v>
      </c>
      <c r="E34" s="108">
        <v>3871</v>
      </c>
      <c r="F34" s="108">
        <v>23176.75</v>
      </c>
      <c r="G34" s="108">
        <v>21</v>
      </c>
      <c r="H34" s="108">
        <v>1843.17</v>
      </c>
      <c r="I34" s="108">
        <v>114</v>
      </c>
      <c r="J34" s="108">
        <v>12040.39</v>
      </c>
      <c r="K34" s="108">
        <f t="shared" si="0"/>
        <v>94666</v>
      </c>
      <c r="L34" s="108">
        <f t="shared" si="1"/>
        <v>77662.73</v>
      </c>
      <c r="M34" s="109">
        <f>L34*100/'CD Ratio_3(i)'!F34</f>
        <v>13.113107620097347</v>
      </c>
      <c r="N34" s="71" t="s">
        <v>48</v>
      </c>
      <c r="O34" s="71">
        <v>92440</v>
      </c>
      <c r="P34" s="120">
        <v>73931.740000000005</v>
      </c>
      <c r="Q34" s="120">
        <f t="shared" si="2"/>
        <v>3730.9899999999907</v>
      </c>
      <c r="R34" s="120">
        <f t="shared" si="3"/>
        <v>105.0465334645174</v>
      </c>
      <c r="S34" s="118">
        <f t="shared" si="4"/>
        <v>4.0949529783880418</v>
      </c>
      <c r="U34" s="118">
        <f t="shared" si="5"/>
        <v>36.339058661315285</v>
      </c>
    </row>
    <row r="35" spans="1:21" x14ac:dyDescent="0.2">
      <c r="A35" s="65">
        <v>29</v>
      </c>
      <c r="B35" s="66" t="s">
        <v>216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45409</v>
      </c>
      <c r="J35" s="108">
        <v>19056</v>
      </c>
      <c r="K35" s="108">
        <f t="shared" si="0"/>
        <v>45409</v>
      </c>
      <c r="L35" s="108">
        <f t="shared" si="1"/>
        <v>19056</v>
      </c>
      <c r="M35" s="109">
        <f>L35*100/'CD Ratio_3(i)'!F35</f>
        <v>37.845567206863677</v>
      </c>
      <c r="N35" s="71" t="s">
        <v>216</v>
      </c>
      <c r="O35" s="71">
        <v>59835</v>
      </c>
      <c r="P35" s="120">
        <v>10720</v>
      </c>
      <c r="Q35" s="120">
        <f t="shared" si="2"/>
        <v>8336</v>
      </c>
      <c r="R35" s="120">
        <f t="shared" si="3"/>
        <v>177.76119402985074</v>
      </c>
      <c r="S35" s="118" t="e">
        <f t="shared" si="4"/>
        <v>#DIV/0!</v>
      </c>
      <c r="U35" s="118" t="e">
        <f t="shared" si="5"/>
        <v>#DIV/0!</v>
      </c>
    </row>
    <row r="36" spans="1:21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f t="shared" si="0"/>
        <v>0</v>
      </c>
      <c r="L36" s="108">
        <f t="shared" si="1"/>
        <v>0</v>
      </c>
      <c r="M36" s="109">
        <f>L36*100/'CD Ratio_3(i)'!F36</f>
        <v>0</v>
      </c>
      <c r="Q36" s="120">
        <f t="shared" si="2"/>
        <v>0</v>
      </c>
      <c r="R36" s="120" t="e">
        <f t="shared" si="3"/>
        <v>#DIV/0!</v>
      </c>
      <c r="S36" s="118" t="e">
        <f t="shared" si="4"/>
        <v>#DIV/0!</v>
      </c>
      <c r="U36" s="118" t="e">
        <f t="shared" si="5"/>
        <v>#DIV/0!</v>
      </c>
    </row>
    <row r="37" spans="1:21" x14ac:dyDescent="0.2">
      <c r="A37" s="65">
        <v>31</v>
      </c>
      <c r="B37" s="66" t="s">
        <v>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f t="shared" si="0"/>
        <v>0</v>
      </c>
      <c r="L37" s="108">
        <f t="shared" si="1"/>
        <v>0</v>
      </c>
      <c r="M37" s="109">
        <f>L37*100/'CD Ratio_3(i)'!F37</f>
        <v>0</v>
      </c>
      <c r="Q37" s="120">
        <f t="shared" si="2"/>
        <v>0</v>
      </c>
      <c r="R37" s="120" t="e">
        <f t="shared" si="3"/>
        <v>#DIV/0!</v>
      </c>
      <c r="S37" s="118" t="e">
        <f t="shared" si="4"/>
        <v>#DIV/0!</v>
      </c>
      <c r="U37" s="118" t="e">
        <f t="shared" si="5"/>
        <v>#DIV/0!</v>
      </c>
    </row>
    <row r="38" spans="1:21" x14ac:dyDescent="0.2">
      <c r="A38" s="65">
        <v>32</v>
      </c>
      <c r="B38" s="107" t="s">
        <v>52</v>
      </c>
      <c r="C38" s="108">
        <v>0</v>
      </c>
      <c r="D38" s="108">
        <v>0</v>
      </c>
      <c r="E38" s="108">
        <v>0</v>
      </c>
      <c r="F38" s="108">
        <v>0</v>
      </c>
      <c r="G38" s="108">
        <v>9</v>
      </c>
      <c r="H38" s="108">
        <v>254.25</v>
      </c>
      <c r="I38" s="108">
        <v>0</v>
      </c>
      <c r="J38" s="108">
        <v>0</v>
      </c>
      <c r="K38" s="108">
        <f t="shared" si="0"/>
        <v>9</v>
      </c>
      <c r="L38" s="108">
        <f t="shared" si="1"/>
        <v>254.25</v>
      </c>
      <c r="M38" s="109">
        <f>L38*100/'CD Ratio_3(i)'!F38</f>
        <v>2.9438565736867277</v>
      </c>
      <c r="N38" s="71" t="s">
        <v>52</v>
      </c>
      <c r="O38" s="71">
        <v>8</v>
      </c>
      <c r="P38" s="120">
        <v>247.89899009999999</v>
      </c>
      <c r="Q38" s="120">
        <f t="shared" si="2"/>
        <v>6.3510099000000082</v>
      </c>
      <c r="R38" s="120">
        <f t="shared" si="3"/>
        <v>102.56193455949057</v>
      </c>
      <c r="S38" s="118" t="e">
        <f t="shared" si="4"/>
        <v>#DIV/0!</v>
      </c>
      <c r="U38" s="118" t="e">
        <f t="shared" si="5"/>
        <v>#DIV/0!</v>
      </c>
    </row>
    <row r="39" spans="1:21" x14ac:dyDescent="0.2">
      <c r="A39" s="65">
        <v>33</v>
      </c>
      <c r="B39" s="107" t="s">
        <v>218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f t="shared" si="0"/>
        <v>0</v>
      </c>
      <c r="L39" s="108">
        <f t="shared" si="1"/>
        <v>0</v>
      </c>
      <c r="M39" s="109">
        <f>L39*100/'CD Ratio_3(i)'!F39</f>
        <v>0</v>
      </c>
      <c r="N39" s="71" t="s">
        <v>254</v>
      </c>
      <c r="O39" s="71">
        <v>0</v>
      </c>
      <c r="P39" s="120">
        <v>20779</v>
      </c>
      <c r="Q39" s="120">
        <f t="shared" si="2"/>
        <v>-20779</v>
      </c>
      <c r="R39" s="120">
        <f t="shared" si="3"/>
        <v>0</v>
      </c>
      <c r="S39" s="118" t="e">
        <f t="shared" si="4"/>
        <v>#DIV/0!</v>
      </c>
      <c r="U39" s="118" t="e">
        <f t="shared" si="5"/>
        <v>#DIV/0!</v>
      </c>
    </row>
    <row r="40" spans="1:21" x14ac:dyDescent="0.2">
      <c r="A40" s="65">
        <v>34</v>
      </c>
      <c r="B40" s="107" t="s">
        <v>219</v>
      </c>
      <c r="C40" s="108">
        <v>0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f t="shared" si="0"/>
        <v>0</v>
      </c>
      <c r="L40" s="108">
        <f t="shared" si="1"/>
        <v>0</v>
      </c>
      <c r="M40" s="109">
        <f>L40*100/'CD Ratio_3(i)'!F40</f>
        <v>0</v>
      </c>
      <c r="Q40" s="120">
        <f t="shared" si="2"/>
        <v>0</v>
      </c>
      <c r="R40" s="120" t="e">
        <f t="shared" si="3"/>
        <v>#DIV/0!</v>
      </c>
      <c r="S40" s="118" t="e">
        <f t="shared" si="4"/>
        <v>#DIV/0!</v>
      </c>
      <c r="U40" s="118" t="e">
        <f t="shared" si="5"/>
        <v>#DIV/0!</v>
      </c>
    </row>
    <row r="41" spans="1:21" x14ac:dyDescent="0.2">
      <c r="A41" s="65">
        <v>35</v>
      </c>
      <c r="B41" s="107" t="s">
        <v>220</v>
      </c>
      <c r="C41" s="108">
        <v>1403</v>
      </c>
      <c r="D41" s="108">
        <v>2448.5</v>
      </c>
      <c r="E41" s="108">
        <v>1355</v>
      </c>
      <c r="F41" s="108">
        <v>1807.36</v>
      </c>
      <c r="G41" s="108">
        <v>5</v>
      </c>
      <c r="H41" s="108">
        <v>523.33000000000004</v>
      </c>
      <c r="I41" s="108">
        <v>1192</v>
      </c>
      <c r="J41" s="108">
        <v>1829.3</v>
      </c>
      <c r="K41" s="108">
        <f t="shared" si="0"/>
        <v>2600</v>
      </c>
      <c r="L41" s="108">
        <f t="shared" si="1"/>
        <v>4801.13</v>
      </c>
      <c r="M41" s="109">
        <f>L41*100/'CD Ratio_3(i)'!F41</f>
        <v>29.508570529474273</v>
      </c>
      <c r="N41" s="71" t="s">
        <v>256</v>
      </c>
      <c r="O41" s="71">
        <v>1926</v>
      </c>
      <c r="P41" s="120">
        <v>4180.8900000000003</v>
      </c>
      <c r="Q41" s="120">
        <f t="shared" si="2"/>
        <v>620.23999999999978</v>
      </c>
      <c r="R41" s="120">
        <f t="shared" si="3"/>
        <v>114.83511883833346</v>
      </c>
      <c r="S41" s="118">
        <f t="shared" si="4"/>
        <v>96.578759800427662</v>
      </c>
      <c r="U41" s="118">
        <f t="shared" si="5"/>
        <v>73.814988768633853</v>
      </c>
    </row>
    <row r="42" spans="1:21" x14ac:dyDescent="0.2">
      <c r="A42" s="65">
        <v>36</v>
      </c>
      <c r="B42" s="107" t="s">
        <v>72</v>
      </c>
      <c r="C42" s="108">
        <v>120856</v>
      </c>
      <c r="D42" s="108">
        <v>268334</v>
      </c>
      <c r="E42" s="108">
        <v>29936</v>
      </c>
      <c r="F42" s="108">
        <v>144682</v>
      </c>
      <c r="G42" s="108">
        <v>22</v>
      </c>
      <c r="H42" s="108">
        <v>751</v>
      </c>
      <c r="I42" s="108">
        <v>1186</v>
      </c>
      <c r="J42" s="108">
        <v>49885</v>
      </c>
      <c r="K42" s="108">
        <f t="shared" si="0"/>
        <v>122064</v>
      </c>
      <c r="L42" s="108">
        <f t="shared" si="1"/>
        <v>318970</v>
      </c>
      <c r="M42" s="109">
        <f>L42*100/'CD Ratio_3(i)'!F42</f>
        <v>27.471103107282595</v>
      </c>
      <c r="N42" s="71" t="s">
        <v>257</v>
      </c>
      <c r="O42" s="71">
        <v>117923</v>
      </c>
      <c r="P42" s="120">
        <v>295439.08</v>
      </c>
      <c r="Q42" s="120">
        <f t="shared" si="2"/>
        <v>23530.919999999984</v>
      </c>
      <c r="R42" s="120">
        <f t="shared" si="3"/>
        <v>107.96472829525463</v>
      </c>
      <c r="S42" s="118">
        <f t="shared" si="4"/>
        <v>24.769974184153043</v>
      </c>
      <c r="U42" s="118">
        <f t="shared" si="5"/>
        <v>53.918623804661358</v>
      </c>
    </row>
    <row r="43" spans="1:21" x14ac:dyDescent="0.2">
      <c r="A43" s="65">
        <v>37</v>
      </c>
      <c r="B43" s="107" t="s">
        <v>73</v>
      </c>
      <c r="C43" s="108">
        <v>99353</v>
      </c>
      <c r="D43" s="108">
        <v>210682.63</v>
      </c>
      <c r="E43" s="108">
        <v>72376</v>
      </c>
      <c r="F43" s="108">
        <v>152175.67000000001</v>
      </c>
      <c r="G43" s="108">
        <v>223</v>
      </c>
      <c r="H43" s="108">
        <v>473.77</v>
      </c>
      <c r="I43" s="108">
        <v>20217</v>
      </c>
      <c r="J43" s="108">
        <v>42871.17</v>
      </c>
      <c r="K43" s="108">
        <f t="shared" si="0"/>
        <v>119793</v>
      </c>
      <c r="L43" s="108">
        <f t="shared" si="1"/>
        <v>254027.57</v>
      </c>
      <c r="M43" s="109">
        <f>L43*100/'CD Ratio_3(i)'!F43</f>
        <v>24.39879583687998</v>
      </c>
      <c r="N43" s="71" t="s">
        <v>258</v>
      </c>
      <c r="O43" s="71">
        <v>111586</v>
      </c>
      <c r="P43" s="120">
        <v>239910.60170229999</v>
      </c>
      <c r="Q43" s="120">
        <f t="shared" si="2"/>
        <v>14116.968297700019</v>
      </c>
      <c r="R43" s="120">
        <f t="shared" si="3"/>
        <v>105.88426196988888</v>
      </c>
      <c r="S43" s="118">
        <f t="shared" si="4"/>
        <v>72.847322174468815</v>
      </c>
      <c r="U43" s="118">
        <f t="shared" si="5"/>
        <v>72.229813155455673</v>
      </c>
    </row>
    <row r="44" spans="1:21" x14ac:dyDescent="0.2">
      <c r="A44" s="65">
        <v>38</v>
      </c>
      <c r="B44" s="107" t="s">
        <v>221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f t="shared" si="0"/>
        <v>0</v>
      </c>
      <c r="L44" s="108">
        <f t="shared" si="1"/>
        <v>0</v>
      </c>
      <c r="M44" s="109">
        <f>L44*100/'CD Ratio_3(i)'!F44</f>
        <v>0</v>
      </c>
      <c r="Q44" s="120">
        <f t="shared" si="2"/>
        <v>0</v>
      </c>
      <c r="R44" s="120" t="e">
        <f t="shared" si="3"/>
        <v>#DIV/0!</v>
      </c>
      <c r="S44" s="118" t="e">
        <f t="shared" si="4"/>
        <v>#DIV/0!</v>
      </c>
      <c r="U44" s="118" t="e">
        <f t="shared" si="5"/>
        <v>#DIV/0!</v>
      </c>
    </row>
    <row r="45" spans="1:21" x14ac:dyDescent="0.2">
      <c r="A45" s="65">
        <v>39</v>
      </c>
      <c r="B45" s="107" t="s">
        <v>222</v>
      </c>
      <c r="C45" s="108">
        <v>0</v>
      </c>
      <c r="D45" s="108">
        <v>52632.072609699972</v>
      </c>
      <c r="E45" s="108">
        <v>0</v>
      </c>
      <c r="F45" s="108">
        <v>0</v>
      </c>
      <c r="G45" s="108">
        <v>0</v>
      </c>
      <c r="H45" s="108">
        <v>257</v>
      </c>
      <c r="I45" s="108">
        <v>0</v>
      </c>
      <c r="J45" s="108">
        <v>1145</v>
      </c>
      <c r="K45" s="108">
        <f t="shared" si="0"/>
        <v>0</v>
      </c>
      <c r="L45" s="108">
        <f t="shared" si="1"/>
        <v>54034.072609699972</v>
      </c>
      <c r="M45" s="109">
        <f>L45*100/'CD Ratio_3(i)'!F45</f>
        <v>21.715692800040177</v>
      </c>
      <c r="N45" s="71" t="s">
        <v>259</v>
      </c>
      <c r="O45" s="71">
        <v>5135</v>
      </c>
      <c r="P45" s="120">
        <v>48166</v>
      </c>
      <c r="Q45" s="120">
        <f t="shared" si="2"/>
        <v>5868.0726096999715</v>
      </c>
      <c r="R45" s="120">
        <f t="shared" si="3"/>
        <v>112.18301833181077</v>
      </c>
      <c r="S45" s="118" t="e">
        <f t="shared" si="4"/>
        <v>#DIV/0!</v>
      </c>
      <c r="U45" s="118">
        <f t="shared" si="5"/>
        <v>0</v>
      </c>
    </row>
    <row r="46" spans="1:21" x14ac:dyDescent="0.2">
      <c r="A46" s="65">
        <v>40</v>
      </c>
      <c r="B46" s="107" t="s">
        <v>223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f t="shared" si="0"/>
        <v>0</v>
      </c>
      <c r="L46" s="108">
        <f t="shared" si="1"/>
        <v>0</v>
      </c>
      <c r="M46" s="109">
        <f>L46*100/'CD Ratio_3(i)'!F46</f>
        <v>0</v>
      </c>
      <c r="Q46" s="120">
        <f t="shared" si="2"/>
        <v>0</v>
      </c>
      <c r="R46" s="120" t="e">
        <f t="shared" si="3"/>
        <v>#DIV/0!</v>
      </c>
      <c r="S46" s="118" t="e">
        <f t="shared" si="4"/>
        <v>#DIV/0!</v>
      </c>
      <c r="U46" s="118" t="e">
        <f t="shared" si="5"/>
        <v>#DIV/0!</v>
      </c>
    </row>
    <row r="47" spans="1:21" x14ac:dyDescent="0.2">
      <c r="A47" s="65">
        <v>41</v>
      </c>
      <c r="B47" s="107" t="s">
        <v>224</v>
      </c>
      <c r="C47" s="108">
        <v>18</v>
      </c>
      <c r="D47" s="108">
        <v>264.7</v>
      </c>
      <c r="E47" s="108">
        <v>7</v>
      </c>
      <c r="F47" s="108">
        <v>24.36</v>
      </c>
      <c r="G47" s="108">
        <v>6</v>
      </c>
      <c r="H47" s="108">
        <v>114.87</v>
      </c>
      <c r="I47" s="108">
        <v>7</v>
      </c>
      <c r="J47" s="108">
        <v>81.31</v>
      </c>
      <c r="K47" s="108">
        <f t="shared" si="0"/>
        <v>31</v>
      </c>
      <c r="L47" s="108">
        <f t="shared" si="1"/>
        <v>460.88</v>
      </c>
      <c r="M47" s="109">
        <f>L47*100/'CD Ratio_3(i)'!F47</f>
        <v>1.3787244226397033</v>
      </c>
      <c r="N47" s="71" t="s">
        <v>261</v>
      </c>
      <c r="O47" s="71">
        <v>2473</v>
      </c>
      <c r="P47" s="120">
        <v>2100</v>
      </c>
      <c r="Q47" s="120">
        <f t="shared" si="2"/>
        <v>-1639.12</v>
      </c>
      <c r="R47" s="120">
        <f t="shared" si="3"/>
        <v>21.946666666666665</v>
      </c>
      <c r="S47" s="118">
        <f t="shared" si="4"/>
        <v>38.888888888888886</v>
      </c>
      <c r="U47" s="118">
        <f t="shared" si="5"/>
        <v>9.2028711749149981</v>
      </c>
    </row>
    <row r="48" spans="1:21" x14ac:dyDescent="0.2">
      <c r="A48" s="65">
        <v>42</v>
      </c>
      <c r="B48" s="116" t="s">
        <v>225</v>
      </c>
      <c r="C48" s="108">
        <v>0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f t="shared" si="0"/>
        <v>0</v>
      </c>
      <c r="L48" s="108">
        <f t="shared" si="1"/>
        <v>0</v>
      </c>
      <c r="M48" s="109">
        <f>L48*100/'CD Ratio_3(i)'!F48</f>
        <v>0</v>
      </c>
      <c r="Q48" s="120">
        <f t="shared" si="2"/>
        <v>0</v>
      </c>
      <c r="R48" s="120" t="e">
        <f t="shared" si="3"/>
        <v>#DIV/0!</v>
      </c>
      <c r="S48" s="118" t="e">
        <f t="shared" si="4"/>
        <v>#DIV/0!</v>
      </c>
      <c r="U48" s="118" t="e">
        <f t="shared" si="5"/>
        <v>#DIV/0!</v>
      </c>
    </row>
    <row r="49" spans="1:21" x14ac:dyDescent="0.2">
      <c r="A49" s="65">
        <v>43</v>
      </c>
      <c r="B49" s="107" t="s">
        <v>74</v>
      </c>
      <c r="C49" s="108">
        <v>29757</v>
      </c>
      <c r="D49" s="108">
        <v>63319</v>
      </c>
      <c r="E49" s="108">
        <v>11859</v>
      </c>
      <c r="F49" s="108">
        <v>28606</v>
      </c>
      <c r="G49" s="108">
        <v>559</v>
      </c>
      <c r="H49" s="108">
        <v>2213</v>
      </c>
      <c r="I49" s="108">
        <v>143</v>
      </c>
      <c r="J49" s="108">
        <v>18337</v>
      </c>
      <c r="K49" s="108">
        <f t="shared" si="0"/>
        <v>30459</v>
      </c>
      <c r="L49" s="108">
        <f t="shared" si="1"/>
        <v>83869</v>
      </c>
      <c r="M49" s="109">
        <f>L49*100/'CD Ratio_3(i)'!F49</f>
        <v>41.114874967522439</v>
      </c>
      <c r="N49" s="71" t="s">
        <v>262</v>
      </c>
      <c r="O49" s="71">
        <v>29952</v>
      </c>
      <c r="P49" s="120">
        <v>81102.399999999994</v>
      </c>
      <c r="Q49" s="120">
        <f t="shared" si="2"/>
        <v>2766.6000000000058</v>
      </c>
      <c r="R49" s="120">
        <f t="shared" si="3"/>
        <v>103.41124307048868</v>
      </c>
      <c r="S49" s="118">
        <f t="shared" si="4"/>
        <v>39.852807742716003</v>
      </c>
      <c r="U49" s="118">
        <f t="shared" si="5"/>
        <v>45.177592823639031</v>
      </c>
    </row>
    <row r="50" spans="1:21" x14ac:dyDescent="0.2">
      <c r="A50" s="65">
        <v>44</v>
      </c>
      <c r="B50" s="107" t="s">
        <v>226</v>
      </c>
      <c r="C50" s="108">
        <v>10</v>
      </c>
      <c r="D50" s="108">
        <v>78</v>
      </c>
      <c r="E50" s="108">
        <v>10</v>
      </c>
      <c r="F50" s="108">
        <v>78</v>
      </c>
      <c r="G50" s="108">
        <v>0</v>
      </c>
      <c r="H50" s="108">
        <v>0</v>
      </c>
      <c r="I50" s="108">
        <v>0</v>
      </c>
      <c r="J50" s="108">
        <v>0</v>
      </c>
      <c r="K50" s="108">
        <f t="shared" si="0"/>
        <v>10</v>
      </c>
      <c r="L50" s="108">
        <f t="shared" si="1"/>
        <v>78</v>
      </c>
      <c r="M50" s="109">
        <f>L50*100/'CD Ratio_3(i)'!F50</f>
        <v>1.8439716312056738</v>
      </c>
      <c r="Q50" s="120">
        <f t="shared" si="2"/>
        <v>78</v>
      </c>
      <c r="R50" s="120" t="e">
        <f t="shared" si="3"/>
        <v>#DIV/0!</v>
      </c>
      <c r="S50" s="118">
        <f t="shared" si="4"/>
        <v>100</v>
      </c>
      <c r="U50" s="118">
        <f t="shared" si="5"/>
        <v>100</v>
      </c>
    </row>
    <row r="51" spans="1:21" x14ac:dyDescent="0.2">
      <c r="A51" s="65">
        <v>45</v>
      </c>
      <c r="B51" s="107" t="s">
        <v>227</v>
      </c>
      <c r="C51" s="108">
        <v>2572</v>
      </c>
      <c r="D51" s="108">
        <v>9301</v>
      </c>
      <c r="E51" s="108">
        <v>2024</v>
      </c>
      <c r="F51" s="108">
        <v>5491</v>
      </c>
      <c r="G51" s="108">
        <v>5</v>
      </c>
      <c r="H51" s="108">
        <v>1092</v>
      </c>
      <c r="I51" s="108">
        <v>7</v>
      </c>
      <c r="J51" s="108">
        <v>3977</v>
      </c>
      <c r="K51" s="108">
        <f t="shared" si="0"/>
        <v>2584</v>
      </c>
      <c r="L51" s="108">
        <f t="shared" si="1"/>
        <v>14370</v>
      </c>
      <c r="M51" s="109">
        <f>L51*100/'CD Ratio_3(i)'!F51</f>
        <v>17.508163165846288</v>
      </c>
      <c r="N51" s="71" t="s">
        <v>264</v>
      </c>
      <c r="O51" s="71">
        <v>4493</v>
      </c>
      <c r="P51" s="120">
        <v>15442.252929459992</v>
      </c>
      <c r="Q51" s="120">
        <f t="shared" si="2"/>
        <v>-1072.2529294599917</v>
      </c>
      <c r="R51" s="120">
        <f t="shared" si="3"/>
        <v>93.056369855110987</v>
      </c>
      <c r="S51" s="118">
        <f t="shared" si="4"/>
        <v>78.693623639191287</v>
      </c>
      <c r="U51" s="118">
        <f t="shared" si="5"/>
        <v>59.03666272443823</v>
      </c>
    </row>
    <row r="52" spans="1:21" x14ac:dyDescent="0.2">
      <c r="A52" s="65">
        <v>46</v>
      </c>
      <c r="B52" s="107" t="s">
        <v>228</v>
      </c>
      <c r="C52" s="108">
        <v>0</v>
      </c>
      <c r="D52" s="108">
        <v>6.36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f t="shared" si="0"/>
        <v>0</v>
      </c>
      <c r="L52" s="108">
        <f t="shared" si="1"/>
        <v>6.36</v>
      </c>
      <c r="M52" s="109">
        <f>L52*100/'CD Ratio_3(i)'!F52</f>
        <v>0.13148075026719949</v>
      </c>
      <c r="Q52" s="120">
        <f t="shared" si="2"/>
        <v>6.36</v>
      </c>
      <c r="R52" s="120" t="e">
        <f t="shared" si="3"/>
        <v>#DIV/0!</v>
      </c>
      <c r="S52" s="118" t="e">
        <f t="shared" si="4"/>
        <v>#DIV/0!</v>
      </c>
      <c r="U52" s="118">
        <f t="shared" si="5"/>
        <v>0</v>
      </c>
    </row>
    <row r="53" spans="1:21" x14ac:dyDescent="0.2">
      <c r="A53" s="65">
        <v>47</v>
      </c>
      <c r="B53" s="107" t="s">
        <v>78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f t="shared" si="0"/>
        <v>0</v>
      </c>
      <c r="L53" s="108">
        <f t="shared" si="1"/>
        <v>0</v>
      </c>
      <c r="M53" s="109">
        <f>L53*100/'CD Ratio_3(i)'!F53</f>
        <v>0</v>
      </c>
      <c r="Q53" s="120">
        <f t="shared" si="2"/>
        <v>0</v>
      </c>
      <c r="R53" s="120" t="e">
        <f t="shared" si="3"/>
        <v>#DIV/0!</v>
      </c>
      <c r="S53" s="118" t="e">
        <f t="shared" si="4"/>
        <v>#DIV/0!</v>
      </c>
      <c r="U53" s="118" t="e">
        <f t="shared" si="5"/>
        <v>#DIV/0!</v>
      </c>
    </row>
    <row r="54" spans="1:21" x14ac:dyDescent="0.2">
      <c r="A54" s="65">
        <v>48</v>
      </c>
      <c r="B54" s="107" t="s">
        <v>229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f t="shared" si="0"/>
        <v>0</v>
      </c>
      <c r="L54" s="108">
        <f t="shared" si="1"/>
        <v>0</v>
      </c>
      <c r="M54" s="109">
        <f>L54*100/'CD Ratio_3(i)'!F54</f>
        <v>0</v>
      </c>
      <c r="Q54" s="120">
        <f t="shared" si="2"/>
        <v>0</v>
      </c>
      <c r="R54" s="120" t="e">
        <f t="shared" si="3"/>
        <v>#DIV/0!</v>
      </c>
      <c r="S54" s="118" t="e">
        <f t="shared" si="4"/>
        <v>#DIV/0!</v>
      </c>
      <c r="U54" s="118" t="e">
        <f t="shared" si="5"/>
        <v>#DIV/0!</v>
      </c>
    </row>
    <row r="55" spans="1:21" x14ac:dyDescent="0.2">
      <c r="A55" s="65">
        <v>49</v>
      </c>
      <c r="B55" s="66" t="s">
        <v>77</v>
      </c>
      <c r="C55" s="108">
        <v>10758</v>
      </c>
      <c r="D55" s="108">
        <v>17047</v>
      </c>
      <c r="E55" s="108">
        <v>41</v>
      </c>
      <c r="F55" s="108">
        <v>6146</v>
      </c>
      <c r="G55" s="108">
        <v>12</v>
      </c>
      <c r="H55" s="108">
        <v>3607</v>
      </c>
      <c r="I55" s="108">
        <v>40</v>
      </c>
      <c r="J55" s="108">
        <v>6742</v>
      </c>
      <c r="K55" s="108">
        <f t="shared" si="0"/>
        <v>10810</v>
      </c>
      <c r="L55" s="108">
        <f t="shared" si="1"/>
        <v>27396</v>
      </c>
      <c r="M55" s="109">
        <f>L55*100/'CD Ratio_3(i)'!F55</f>
        <v>34.707916840865039</v>
      </c>
      <c r="N55" s="71" t="s">
        <v>77</v>
      </c>
      <c r="O55" s="71">
        <v>7144</v>
      </c>
      <c r="P55" s="120">
        <v>28797.53</v>
      </c>
      <c r="Q55" s="120">
        <f t="shared" si="2"/>
        <v>-1401.5299999999988</v>
      </c>
      <c r="R55" s="120">
        <f t="shared" si="3"/>
        <v>95.133158989677241</v>
      </c>
      <c r="S55" s="118">
        <f t="shared" si="4"/>
        <v>0.38111173080498234</v>
      </c>
      <c r="U55" s="118">
        <f t="shared" si="5"/>
        <v>36.053264504018301</v>
      </c>
    </row>
    <row r="56" spans="1:21" s="117" customFormat="1" x14ac:dyDescent="0.2">
      <c r="A56" s="65"/>
      <c r="B56" s="68" t="s">
        <v>408</v>
      </c>
      <c r="C56" s="115">
        <f>SUM(C34:C55)</f>
        <v>359258</v>
      </c>
      <c r="D56" s="115">
        <f t="shared" ref="D56:J56" si="7">SUM(D34:D55)</f>
        <v>687892.43260970002</v>
      </c>
      <c r="E56" s="115">
        <f t="shared" si="7"/>
        <v>121479</v>
      </c>
      <c r="F56" s="115">
        <f t="shared" si="7"/>
        <v>362187.14</v>
      </c>
      <c r="G56" s="115">
        <f t="shared" si="7"/>
        <v>862</v>
      </c>
      <c r="H56" s="115">
        <f t="shared" si="7"/>
        <v>11129.39</v>
      </c>
      <c r="I56" s="115">
        <f t="shared" si="7"/>
        <v>68315</v>
      </c>
      <c r="J56" s="115">
        <f t="shared" si="7"/>
        <v>155964.16999999998</v>
      </c>
      <c r="K56" s="115">
        <f t="shared" si="0"/>
        <v>428435</v>
      </c>
      <c r="L56" s="115">
        <f t="shared" si="1"/>
        <v>854985.99260969996</v>
      </c>
      <c r="M56" s="106">
        <f>L56*100/'CD Ratio_3(i)'!F56</f>
        <v>23.427491552139681</v>
      </c>
      <c r="Q56" s="120"/>
      <c r="R56" s="120" t="e">
        <f t="shared" si="3"/>
        <v>#DIV/0!</v>
      </c>
      <c r="S56" s="118">
        <f t="shared" si="4"/>
        <v>33.813860790852253</v>
      </c>
      <c r="U56" s="118">
        <f t="shared" si="5"/>
        <v>52.651711638395014</v>
      </c>
    </row>
    <row r="57" spans="1:21" x14ac:dyDescent="0.2">
      <c r="A57" s="65">
        <v>50</v>
      </c>
      <c r="B57" s="66" t="s">
        <v>47</v>
      </c>
      <c r="C57" s="108">
        <v>163867</v>
      </c>
      <c r="D57" s="108">
        <v>239578.79</v>
      </c>
      <c r="E57" s="108">
        <v>125994</v>
      </c>
      <c r="F57" s="108">
        <v>207452.65</v>
      </c>
      <c r="G57" s="108">
        <v>86</v>
      </c>
      <c r="H57" s="108">
        <v>5375.2</v>
      </c>
      <c r="I57" s="108">
        <v>190</v>
      </c>
      <c r="J57" s="108">
        <v>113.6</v>
      </c>
      <c r="K57" s="108">
        <f t="shared" si="0"/>
        <v>164143</v>
      </c>
      <c r="L57" s="108">
        <f t="shared" si="1"/>
        <v>245067.59000000003</v>
      </c>
      <c r="M57" s="109">
        <f>L57*100/'CD Ratio_3(i)'!F57</f>
        <v>61.371044161942827</v>
      </c>
      <c r="N57" s="71" t="s">
        <v>47</v>
      </c>
      <c r="O57" s="71">
        <v>163586</v>
      </c>
      <c r="P57" s="120">
        <v>229787</v>
      </c>
      <c r="Q57" s="120">
        <f t="shared" si="2"/>
        <v>15280.590000000026</v>
      </c>
      <c r="R57" s="120">
        <f t="shared" si="3"/>
        <v>106.64989316192823</v>
      </c>
      <c r="S57" s="118">
        <f t="shared" si="4"/>
        <v>76.887964019601256</v>
      </c>
      <c r="U57" s="118">
        <f t="shared" si="5"/>
        <v>86.590574232385094</v>
      </c>
    </row>
    <row r="58" spans="1:21" x14ac:dyDescent="0.2">
      <c r="A58" s="65">
        <v>51</v>
      </c>
      <c r="B58" s="66" t="s">
        <v>230</v>
      </c>
      <c r="C58" s="108">
        <v>229688</v>
      </c>
      <c r="D58" s="108">
        <v>171854</v>
      </c>
      <c r="E58" s="108">
        <v>201809</v>
      </c>
      <c r="F58" s="108">
        <v>149742</v>
      </c>
      <c r="G58" s="108">
        <v>0</v>
      </c>
      <c r="H58" s="108">
        <v>0</v>
      </c>
      <c r="I58" s="108">
        <v>0</v>
      </c>
      <c r="J58" s="108">
        <v>0</v>
      </c>
      <c r="K58" s="108">
        <f t="shared" si="0"/>
        <v>229688</v>
      </c>
      <c r="L58" s="108">
        <f t="shared" si="1"/>
        <v>171854</v>
      </c>
      <c r="M58" s="109">
        <f>L58*100/'CD Ratio_3(i)'!F58</f>
        <v>65.730109311771855</v>
      </c>
      <c r="N58" s="71" t="s">
        <v>230</v>
      </c>
      <c r="O58" s="71">
        <v>222179</v>
      </c>
      <c r="P58" s="120">
        <v>167827</v>
      </c>
      <c r="Q58" s="120">
        <f t="shared" si="2"/>
        <v>4027</v>
      </c>
      <c r="R58" s="120">
        <f t="shared" si="3"/>
        <v>102.39949471777486</v>
      </c>
      <c r="S58" s="118">
        <f t="shared" si="4"/>
        <v>87.862230503988016</v>
      </c>
      <c r="U58" s="118">
        <f t="shared" si="5"/>
        <v>87.133264282472325</v>
      </c>
    </row>
    <row r="59" spans="1:21" x14ac:dyDescent="0.2">
      <c r="A59" s="65">
        <v>52</v>
      </c>
      <c r="B59" s="66" t="s">
        <v>53</v>
      </c>
      <c r="C59" s="108">
        <v>187906</v>
      </c>
      <c r="D59" s="108">
        <v>289467</v>
      </c>
      <c r="E59" s="108">
        <v>187906</v>
      </c>
      <c r="F59" s="108">
        <v>289467</v>
      </c>
      <c r="G59" s="108">
        <v>0</v>
      </c>
      <c r="H59" s="108">
        <v>0</v>
      </c>
      <c r="I59" s="108">
        <v>20358</v>
      </c>
      <c r="J59" s="108">
        <v>19048</v>
      </c>
      <c r="K59" s="108">
        <f t="shared" si="0"/>
        <v>208264</v>
      </c>
      <c r="L59" s="108">
        <f t="shared" si="1"/>
        <v>308515</v>
      </c>
      <c r="M59" s="109">
        <f>L59*100/'CD Ratio_3(i)'!F59</f>
        <v>69.195797765207757</v>
      </c>
      <c r="N59" s="71" t="s">
        <v>53</v>
      </c>
      <c r="O59" s="71">
        <v>206238</v>
      </c>
      <c r="P59" s="120">
        <v>295240.82</v>
      </c>
      <c r="Q59" s="120">
        <f t="shared" si="2"/>
        <v>13274.179999999993</v>
      </c>
      <c r="R59" s="120">
        <f t="shared" si="3"/>
        <v>104.49605173159999</v>
      </c>
      <c r="S59" s="118">
        <f t="shared" si="4"/>
        <v>100</v>
      </c>
      <c r="U59" s="118">
        <f t="shared" si="5"/>
        <v>100</v>
      </c>
    </row>
    <row r="60" spans="1:21" s="121" customFormat="1" x14ac:dyDescent="0.2">
      <c r="A60" s="262"/>
      <c r="B60" s="115" t="s">
        <v>422</v>
      </c>
      <c r="C60" s="115">
        <f>SUM(C57:C59)</f>
        <v>581461</v>
      </c>
      <c r="D60" s="115">
        <f t="shared" ref="D60:J60" si="8">SUM(D57:D59)</f>
        <v>700899.79</v>
      </c>
      <c r="E60" s="115">
        <f t="shared" si="8"/>
        <v>515709</v>
      </c>
      <c r="F60" s="115">
        <f t="shared" si="8"/>
        <v>646661.65</v>
      </c>
      <c r="G60" s="115">
        <f t="shared" si="8"/>
        <v>86</v>
      </c>
      <c r="H60" s="115">
        <f t="shared" si="8"/>
        <v>5375.2</v>
      </c>
      <c r="I60" s="115">
        <f t="shared" si="8"/>
        <v>20548</v>
      </c>
      <c r="J60" s="115">
        <f t="shared" si="8"/>
        <v>19161.599999999999</v>
      </c>
      <c r="K60" s="115">
        <f t="shared" si="0"/>
        <v>602095</v>
      </c>
      <c r="L60" s="115">
        <f t="shared" si="1"/>
        <v>725436.59</v>
      </c>
      <c r="M60" s="106">
        <f>L60*100/'CD Ratio_3(i)'!F60</f>
        <v>65.553481496850083</v>
      </c>
      <c r="N60" s="117"/>
      <c r="O60" s="117"/>
      <c r="Q60" s="120">
        <f t="shared" si="2"/>
        <v>725436.59</v>
      </c>
      <c r="R60" s="120" t="e">
        <f t="shared" si="3"/>
        <v>#DIV/0!</v>
      </c>
      <c r="S60" s="118">
        <f t="shared" si="4"/>
        <v>88.691932906936145</v>
      </c>
      <c r="U60" s="118">
        <f t="shared" si="5"/>
        <v>92.261641282557662</v>
      </c>
    </row>
    <row r="61" spans="1:21" x14ac:dyDescent="0.2">
      <c r="A61" s="131">
        <v>53</v>
      </c>
      <c r="B61" s="108" t="s">
        <v>409</v>
      </c>
      <c r="C61" s="108">
        <v>5686238</v>
      </c>
      <c r="D61" s="108">
        <v>1696209</v>
      </c>
      <c r="E61" s="108">
        <v>2729196</v>
      </c>
      <c r="F61" s="108">
        <v>1218824</v>
      </c>
      <c r="G61" s="108"/>
      <c r="H61" s="108">
        <v>0</v>
      </c>
      <c r="I61" s="108"/>
      <c r="J61" s="108">
        <v>0</v>
      </c>
      <c r="K61" s="108">
        <f t="shared" si="0"/>
        <v>5686238</v>
      </c>
      <c r="L61" s="108">
        <f t="shared" si="1"/>
        <v>1696209</v>
      </c>
      <c r="M61" s="109">
        <f>L61*100/'CD Ratio_3(i)'!F61</f>
        <v>91.187365285051015</v>
      </c>
      <c r="N61" s="71" t="s">
        <v>265</v>
      </c>
      <c r="O61" s="71">
        <v>5298069</v>
      </c>
      <c r="P61" s="120">
        <v>1071055</v>
      </c>
      <c r="Q61" s="120">
        <f t="shared" si="2"/>
        <v>625154</v>
      </c>
      <c r="R61" s="120">
        <f t="shared" si="3"/>
        <v>158.36805766277175</v>
      </c>
      <c r="S61" s="118">
        <f t="shared" si="4"/>
        <v>47.996513687960302</v>
      </c>
      <c r="U61" s="118">
        <f t="shared" si="5"/>
        <v>71.85576777390051</v>
      </c>
    </row>
    <row r="62" spans="1:21" x14ac:dyDescent="0.2">
      <c r="A62" s="131"/>
      <c r="B62" s="115" t="s">
        <v>410</v>
      </c>
      <c r="C62" s="115">
        <f>C61</f>
        <v>5686238</v>
      </c>
      <c r="D62" s="115">
        <f t="shared" ref="D62:J62" si="9">D61</f>
        <v>1696209</v>
      </c>
      <c r="E62" s="115">
        <f t="shared" si="9"/>
        <v>2729196</v>
      </c>
      <c r="F62" s="115">
        <f t="shared" si="9"/>
        <v>1218824</v>
      </c>
      <c r="G62" s="115">
        <f t="shared" si="9"/>
        <v>0</v>
      </c>
      <c r="H62" s="115">
        <f t="shared" si="9"/>
        <v>0</v>
      </c>
      <c r="I62" s="115">
        <f t="shared" si="9"/>
        <v>0</v>
      </c>
      <c r="J62" s="115">
        <f t="shared" si="9"/>
        <v>0</v>
      </c>
      <c r="K62" s="115">
        <f t="shared" si="0"/>
        <v>5686238</v>
      </c>
      <c r="L62" s="115">
        <f t="shared" si="1"/>
        <v>1696209</v>
      </c>
      <c r="M62" s="106">
        <f>L62*100/'CD Ratio_3(i)'!F62</f>
        <v>91.187365285051015</v>
      </c>
      <c r="Q62" s="120">
        <f t="shared" si="2"/>
        <v>1696209</v>
      </c>
      <c r="R62" s="120" t="e">
        <f t="shared" si="3"/>
        <v>#DIV/0!</v>
      </c>
      <c r="S62" s="118">
        <f t="shared" si="4"/>
        <v>47.996513687960302</v>
      </c>
      <c r="U62" s="118">
        <f t="shared" si="5"/>
        <v>71.85576777390051</v>
      </c>
    </row>
    <row r="63" spans="1:21" s="117" customFormat="1" x14ac:dyDescent="0.2">
      <c r="A63" s="262"/>
      <c r="B63" s="115" t="s">
        <v>0</v>
      </c>
      <c r="C63" s="115">
        <f>C62+C60+C56+C33</f>
        <v>8619104</v>
      </c>
      <c r="D63" s="115">
        <f t="shared" ref="D63:J63" si="10">D62+D60+D56+D33</f>
        <v>6757918.9226096999</v>
      </c>
      <c r="E63" s="115">
        <f t="shared" si="10"/>
        <v>5034620</v>
      </c>
      <c r="F63" s="115">
        <f t="shared" si="10"/>
        <v>5263833.1899999995</v>
      </c>
      <c r="G63" s="115">
        <f t="shared" si="10"/>
        <v>112097</v>
      </c>
      <c r="H63" s="115">
        <f t="shared" si="10"/>
        <v>219320.09</v>
      </c>
      <c r="I63" s="115">
        <f t="shared" si="10"/>
        <v>239931</v>
      </c>
      <c r="J63" s="115">
        <f t="shared" si="10"/>
        <v>616924.5199999999</v>
      </c>
      <c r="K63" s="115">
        <f t="shared" si="0"/>
        <v>8971132</v>
      </c>
      <c r="L63" s="115">
        <f t="shared" si="1"/>
        <v>7594163.5326096993</v>
      </c>
      <c r="M63" s="106">
        <f>L63*100/'CD Ratio_3(i)'!F63</f>
        <v>34.512270006014084</v>
      </c>
      <c r="N63" s="71" t="s">
        <v>233</v>
      </c>
      <c r="O63" s="71">
        <v>8487181</v>
      </c>
      <c r="P63" s="120">
        <v>6642738.0102539603</v>
      </c>
      <c r="Q63" s="120">
        <f t="shared" si="2"/>
        <v>951425.52235573903</v>
      </c>
      <c r="R63" s="120">
        <f t="shared" si="3"/>
        <v>114.32279160922928</v>
      </c>
      <c r="S63" s="118">
        <f t="shared" si="4"/>
        <v>58.412336131458673</v>
      </c>
      <c r="U63" s="118">
        <f t="shared" si="5"/>
        <v>77.89133386002905</v>
      </c>
    </row>
    <row r="64" spans="1:21" x14ac:dyDescent="0.2">
      <c r="L64" s="120">
        <v>8122781</v>
      </c>
    </row>
    <row r="66" spans="3:21" x14ac:dyDescent="0.2">
      <c r="C66" s="120">
        <v>8209992.0700000003</v>
      </c>
      <c r="D66" s="120">
        <v>5775614.2048053611</v>
      </c>
      <c r="E66" s="120">
        <v>7617216</v>
      </c>
      <c r="F66" s="120">
        <v>4812803.4679541998</v>
      </c>
      <c r="G66" s="120">
        <v>108962.758</v>
      </c>
      <c r="H66" s="120">
        <v>262529.85973610176</v>
      </c>
      <c r="I66" s="120">
        <v>168226.17199999999</v>
      </c>
      <c r="J66" s="120">
        <v>604593.94571249723</v>
      </c>
      <c r="K66" s="120">
        <v>8487181</v>
      </c>
      <c r="L66" s="120">
        <v>6642738.0102539603</v>
      </c>
      <c r="M66" s="71"/>
      <c r="P66" s="71"/>
      <c r="Q66" s="71"/>
      <c r="R66" s="71"/>
      <c r="S66" s="71"/>
      <c r="U66" s="71"/>
    </row>
    <row r="68" spans="3:21" x14ac:dyDescent="0.2">
      <c r="N68" s="120">
        <f>L64-L63</f>
        <v>528617.46739030071</v>
      </c>
    </row>
    <row r="69" spans="3:21" x14ac:dyDescent="0.2">
      <c r="C69" s="120">
        <f>C63-C66</f>
        <v>409111.9299999997</v>
      </c>
      <c r="D69" s="120">
        <f t="shared" ref="D69:L69" si="11">D63-D66</f>
        <v>982304.71780433878</v>
      </c>
      <c r="E69" s="120">
        <f t="shared" si="11"/>
        <v>-2582596</v>
      </c>
      <c r="F69" s="120">
        <f t="shared" si="11"/>
        <v>451029.72204579972</v>
      </c>
      <c r="G69" s="120">
        <f t="shared" si="11"/>
        <v>3134.2419999999984</v>
      </c>
      <c r="H69" s="120">
        <f t="shared" si="11"/>
        <v>-43209.769736101764</v>
      </c>
      <c r="I69" s="120">
        <f t="shared" si="11"/>
        <v>71704.828000000009</v>
      </c>
      <c r="J69" s="120">
        <f t="shared" si="11"/>
        <v>12330.574287502677</v>
      </c>
      <c r="K69" s="120">
        <f t="shared" si="11"/>
        <v>483951</v>
      </c>
      <c r="L69" s="120">
        <f t="shared" si="11"/>
        <v>951425.52235573903</v>
      </c>
      <c r="M69" s="71"/>
      <c r="P69" s="71"/>
      <c r="Q69" s="71"/>
      <c r="R69" s="71"/>
      <c r="S69" s="71"/>
      <c r="U69" s="71"/>
    </row>
    <row r="72" spans="3:21" x14ac:dyDescent="0.2">
      <c r="J72" s="118">
        <f>100-69.88</f>
        <v>30.120000000000005</v>
      </c>
    </row>
    <row r="73" spans="3:21" x14ac:dyDescent="0.2">
      <c r="F73" s="118">
        <f>F63*100/L63</f>
        <v>69.314193293268559</v>
      </c>
    </row>
    <row r="75" spans="3:21" x14ac:dyDescent="0.2">
      <c r="F75" s="118">
        <f>481280300/6642738</f>
        <v>72.452097312885144</v>
      </c>
    </row>
    <row r="76" spans="3:21" x14ac:dyDescent="0.2">
      <c r="F76" s="118">
        <f>100-F75</f>
        <v>27.547902687114856</v>
      </c>
    </row>
  </sheetData>
  <autoFilter ref="N5:Q63"/>
  <sortState ref="B6:L33">
    <sortCondition ref="B6:B33"/>
  </sortState>
  <mergeCells count="10">
    <mergeCell ref="M3:M5"/>
    <mergeCell ref="A1:L1"/>
    <mergeCell ref="A3:A5"/>
    <mergeCell ref="B3:B5"/>
    <mergeCell ref="C3:L3"/>
    <mergeCell ref="C4:D4"/>
    <mergeCell ref="G4:H4"/>
    <mergeCell ref="I4:J4"/>
    <mergeCell ref="K4:L4"/>
    <mergeCell ref="E4:F4"/>
  </mergeCells>
  <conditionalFormatting sqref="B7">
    <cfRule type="duplicateValues" dxfId="186" priority="16"/>
  </conditionalFormatting>
  <conditionalFormatting sqref="B23">
    <cfRule type="duplicateValues" dxfId="185" priority="17"/>
  </conditionalFormatting>
  <conditionalFormatting sqref="B51">
    <cfRule type="duplicateValues" dxfId="184" priority="19"/>
  </conditionalFormatting>
  <conditionalFormatting sqref="B55">
    <cfRule type="duplicateValues" dxfId="183" priority="20"/>
  </conditionalFormatting>
  <conditionalFormatting sqref="B57">
    <cfRule type="duplicateValues" dxfId="182" priority="21"/>
  </conditionalFormatting>
  <conditionalFormatting sqref="B33 B27:B30">
    <cfRule type="duplicateValues" dxfId="181" priority="110"/>
  </conditionalFormatting>
  <conditionalFormatting sqref="S1:S1048576">
    <cfRule type="cellIs" dxfId="180" priority="10" operator="greaterThan">
      <formula>100</formula>
    </cfRule>
  </conditionalFormatting>
  <conditionalFormatting sqref="U1:U1048576">
    <cfRule type="cellIs" dxfId="179" priority="9" operator="greaterThan">
      <formula>100</formula>
    </cfRule>
  </conditionalFormatting>
  <conditionalFormatting sqref="M3:M5">
    <cfRule type="cellIs" dxfId="178" priority="3" operator="lessThan">
      <formula>18</formula>
    </cfRule>
    <cfRule type="cellIs" dxfId="177" priority="4" operator="lessThan">
      <formula>18</formula>
    </cfRule>
    <cfRule type="cellIs" dxfId="176" priority="5" operator="lessThan">
      <formula>40</formula>
    </cfRule>
    <cfRule type="cellIs" dxfId="175" priority="6" stopIfTrue="1" operator="lessThan">
      <formula>18</formula>
    </cfRule>
  </conditionalFormatting>
  <conditionalFormatting sqref="M1:M1048576">
    <cfRule type="cellIs" dxfId="174" priority="2" operator="lessThan">
      <formula>18</formula>
    </cfRule>
  </conditionalFormatting>
  <conditionalFormatting sqref="R1:R1048576">
    <cfRule type="cellIs" dxfId="173" priority="1" operator="lessThan">
      <formula>100</formula>
    </cfRule>
  </conditionalFormatting>
  <pageMargins left="0.45" right="0.45" top="0.5" bottom="0.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1"/>
  <sheetViews>
    <sheetView tabSelected="1" zoomScaleNormal="100" workbookViewId="0">
      <pane xSplit="2" ySplit="5" topLeftCell="C57" activePane="bottomRight" state="frozen"/>
      <selection pane="topRight" activeCell="C1" sqref="C1"/>
      <selection pane="bottomLeft" activeCell="A7" sqref="A7"/>
      <selection pane="bottomRight" activeCell="S72" sqref="S72"/>
    </sheetView>
  </sheetViews>
  <sheetFormatPr defaultColWidth="4.42578125" defaultRowHeight="13.5" x14ac:dyDescent="0.2"/>
  <cols>
    <col min="1" max="1" width="4.42578125" style="71"/>
    <col min="2" max="2" width="22.140625" style="71" customWidth="1"/>
    <col min="3" max="3" width="10" style="120" customWidth="1"/>
    <col min="4" max="4" width="9.28515625" style="120" customWidth="1"/>
    <col min="5" max="5" width="8.42578125" style="120" customWidth="1"/>
    <col min="6" max="6" width="9.5703125" style="120" customWidth="1"/>
    <col min="7" max="7" width="7.7109375" style="120" bestFit="1" customWidth="1"/>
    <col min="8" max="8" width="8.42578125" style="120" customWidth="1"/>
    <col min="9" max="9" width="7.5703125" style="120" customWidth="1"/>
    <col min="10" max="10" width="7.140625" style="120" customWidth="1"/>
    <col min="11" max="11" width="7" style="120" bestFit="1" customWidth="1"/>
    <col min="12" max="12" width="7.42578125" style="120" customWidth="1"/>
    <col min="13" max="14" width="7.85546875" style="120" customWidth="1"/>
    <col min="15" max="15" width="4.42578125" style="71"/>
    <col min="16" max="16" width="12" style="118" hidden="1" customWidth="1"/>
    <col min="17" max="17" width="7" style="71" hidden="1" customWidth="1"/>
    <col min="18" max="18" width="11" style="120" bestFit="1" customWidth="1"/>
    <col min="19" max="19" width="4.42578125" style="71"/>
    <col min="20" max="20" width="8" style="71" bestFit="1" customWidth="1"/>
    <col min="21" max="16384" width="4.42578125" style="71"/>
  </cols>
  <sheetData>
    <row r="1" spans="1:20" ht="18.75" x14ac:dyDescent="0.2">
      <c r="A1" s="426" t="s">
        <v>426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20" x14ac:dyDescent="0.2">
      <c r="B2" s="117" t="s">
        <v>135</v>
      </c>
      <c r="I2" s="120" t="s">
        <v>144</v>
      </c>
      <c r="L2" s="120" t="s">
        <v>134</v>
      </c>
    </row>
    <row r="3" spans="1:20" ht="13.5" customHeight="1" x14ac:dyDescent="0.2">
      <c r="A3" s="427" t="s">
        <v>121</v>
      </c>
      <c r="B3" s="427" t="s">
        <v>101</v>
      </c>
      <c r="C3" s="429" t="s">
        <v>425</v>
      </c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1"/>
    </row>
    <row r="4" spans="1:20" ht="15" customHeight="1" x14ac:dyDescent="0.2">
      <c r="A4" s="427"/>
      <c r="B4" s="427"/>
      <c r="C4" s="429" t="s">
        <v>128</v>
      </c>
      <c r="D4" s="431"/>
      <c r="E4" s="429" t="s">
        <v>129</v>
      </c>
      <c r="F4" s="431"/>
      <c r="G4" s="429" t="s">
        <v>130</v>
      </c>
      <c r="H4" s="431"/>
      <c r="I4" s="429" t="s">
        <v>131</v>
      </c>
      <c r="J4" s="431"/>
      <c r="K4" s="429" t="s">
        <v>133</v>
      </c>
      <c r="L4" s="431"/>
      <c r="M4" s="429" t="s">
        <v>1</v>
      </c>
      <c r="N4" s="431"/>
      <c r="R4" s="396">
        <v>42537</v>
      </c>
    </row>
    <row r="5" spans="1:20" x14ac:dyDescent="0.2">
      <c r="A5" s="427"/>
      <c r="B5" s="427"/>
      <c r="C5" s="271" t="s">
        <v>267</v>
      </c>
      <c r="D5" s="271" t="s">
        <v>266</v>
      </c>
      <c r="E5" s="271" t="s">
        <v>267</v>
      </c>
      <c r="F5" s="271" t="s">
        <v>266</v>
      </c>
      <c r="G5" s="271" t="s">
        <v>267</v>
      </c>
      <c r="H5" s="271" t="s">
        <v>266</v>
      </c>
      <c r="I5" s="271" t="s">
        <v>267</v>
      </c>
      <c r="J5" s="271" t="s">
        <v>266</v>
      </c>
      <c r="K5" s="271" t="s">
        <v>267</v>
      </c>
      <c r="L5" s="271" t="s">
        <v>266</v>
      </c>
      <c r="M5" s="271" t="s">
        <v>267</v>
      </c>
      <c r="N5" s="271" t="s">
        <v>266</v>
      </c>
      <c r="T5" s="272" t="s">
        <v>271</v>
      </c>
    </row>
    <row r="6" spans="1:20" x14ac:dyDescent="0.2">
      <c r="A6" s="65">
        <v>1</v>
      </c>
      <c r="B6" s="107" t="s">
        <v>56</v>
      </c>
      <c r="C6" s="108">
        <v>21118</v>
      </c>
      <c r="D6" s="108">
        <v>76515</v>
      </c>
      <c r="E6" s="108">
        <v>3577</v>
      </c>
      <c r="F6" s="108">
        <v>80718</v>
      </c>
      <c r="G6" s="108">
        <v>43</v>
      </c>
      <c r="H6" s="108">
        <v>11793</v>
      </c>
      <c r="I6" s="108">
        <v>257</v>
      </c>
      <c r="J6" s="108">
        <v>451</v>
      </c>
      <c r="K6" s="108">
        <v>0</v>
      </c>
      <c r="L6" s="108">
        <v>0</v>
      </c>
      <c r="M6" s="108">
        <f>C6+E6+G6+I6+K6</f>
        <v>24995</v>
      </c>
      <c r="N6" s="108">
        <f>D6+F6+H6+J6+L6</f>
        <v>169477</v>
      </c>
      <c r="P6" s="118" t="s">
        <v>56</v>
      </c>
      <c r="Q6" s="71">
        <v>29661</v>
      </c>
      <c r="R6" s="120">
        <v>156105.46999999997</v>
      </c>
      <c r="T6" s="120">
        <f>N6-R6</f>
        <v>13371.530000000028</v>
      </c>
    </row>
    <row r="7" spans="1:20" x14ac:dyDescent="0.2">
      <c r="A7" s="65">
        <v>2</v>
      </c>
      <c r="B7" s="107" t="s">
        <v>57</v>
      </c>
      <c r="C7" s="108">
        <v>2719</v>
      </c>
      <c r="D7" s="108">
        <v>6533.29</v>
      </c>
      <c r="E7" s="108">
        <v>45</v>
      </c>
      <c r="F7" s="108">
        <v>3035.71</v>
      </c>
      <c r="G7" s="108">
        <v>7</v>
      </c>
      <c r="H7" s="108">
        <v>2946.81</v>
      </c>
      <c r="I7" s="108">
        <v>6</v>
      </c>
      <c r="J7" s="108">
        <v>39.15</v>
      </c>
      <c r="K7" s="108">
        <v>0</v>
      </c>
      <c r="L7" s="108">
        <v>0</v>
      </c>
      <c r="M7" s="108">
        <f t="shared" ref="M7:M63" si="0">C7+E7+G7+I7+K7</f>
        <v>2777</v>
      </c>
      <c r="N7" s="108">
        <f t="shared" ref="N7:N63" si="1">D7+F7+H7+J7+L7</f>
        <v>12554.96</v>
      </c>
      <c r="P7" s="118" t="s">
        <v>57</v>
      </c>
      <c r="Q7" s="71">
        <v>3945</v>
      </c>
      <c r="R7" s="120">
        <v>13834</v>
      </c>
      <c r="T7" s="120">
        <f t="shared" ref="T7:T61" si="2">N7-R7</f>
        <v>-1279.0400000000009</v>
      </c>
    </row>
    <row r="8" spans="1:20" x14ac:dyDescent="0.2">
      <c r="A8" s="65">
        <v>3</v>
      </c>
      <c r="B8" s="107" t="s">
        <v>58</v>
      </c>
      <c r="C8" s="108">
        <v>17499</v>
      </c>
      <c r="D8" s="108">
        <v>129296</v>
      </c>
      <c r="E8" s="108">
        <v>3669</v>
      </c>
      <c r="F8" s="108">
        <v>105252</v>
      </c>
      <c r="G8" s="108">
        <v>152</v>
      </c>
      <c r="H8" s="108">
        <v>34189</v>
      </c>
      <c r="I8" s="108">
        <v>239</v>
      </c>
      <c r="J8" s="108">
        <v>3796</v>
      </c>
      <c r="K8" s="108">
        <v>9</v>
      </c>
      <c r="L8" s="108">
        <v>58</v>
      </c>
      <c r="M8" s="108">
        <f t="shared" si="0"/>
        <v>21568</v>
      </c>
      <c r="N8" s="108">
        <f t="shared" si="1"/>
        <v>272591</v>
      </c>
      <c r="P8" s="118" t="s">
        <v>58</v>
      </c>
      <c r="Q8" s="71">
        <v>21903</v>
      </c>
      <c r="R8" s="120">
        <v>278258.34999999998</v>
      </c>
      <c r="T8" s="120">
        <f t="shared" si="2"/>
        <v>-5667.3499999999767</v>
      </c>
    </row>
    <row r="9" spans="1:20" x14ac:dyDescent="0.2">
      <c r="A9" s="65">
        <v>4</v>
      </c>
      <c r="B9" s="107" t="s">
        <v>59</v>
      </c>
      <c r="C9" s="108">
        <v>66270</v>
      </c>
      <c r="D9" s="108">
        <v>138199</v>
      </c>
      <c r="E9" s="108">
        <v>4553</v>
      </c>
      <c r="F9" s="108">
        <v>121678</v>
      </c>
      <c r="G9" s="108">
        <v>196</v>
      </c>
      <c r="H9" s="108">
        <v>31224</v>
      </c>
      <c r="I9" s="108">
        <v>8</v>
      </c>
      <c r="J9" s="108">
        <v>3</v>
      </c>
      <c r="K9" s="108">
        <v>320</v>
      </c>
      <c r="L9" s="108">
        <v>83</v>
      </c>
      <c r="M9" s="108">
        <f t="shared" si="0"/>
        <v>71347</v>
      </c>
      <c r="N9" s="108">
        <f t="shared" si="1"/>
        <v>291187</v>
      </c>
      <c r="P9" s="118" t="s">
        <v>59</v>
      </c>
      <c r="Q9" s="71">
        <v>69346</v>
      </c>
      <c r="R9" s="120">
        <v>293774.01</v>
      </c>
      <c r="T9" s="120">
        <f t="shared" si="2"/>
        <v>-2587.0100000000093</v>
      </c>
    </row>
    <row r="10" spans="1:20" x14ac:dyDescent="0.2">
      <c r="A10" s="65">
        <v>5</v>
      </c>
      <c r="B10" s="107" t="s">
        <v>60</v>
      </c>
      <c r="C10" s="108">
        <v>18225</v>
      </c>
      <c r="D10" s="108">
        <v>52799</v>
      </c>
      <c r="E10" s="108">
        <v>2189</v>
      </c>
      <c r="F10" s="108">
        <v>34669</v>
      </c>
      <c r="G10" s="108">
        <v>93</v>
      </c>
      <c r="H10" s="108">
        <v>7108</v>
      </c>
      <c r="I10" s="108">
        <v>0</v>
      </c>
      <c r="J10" s="108">
        <v>0</v>
      </c>
      <c r="K10" s="108">
        <v>0</v>
      </c>
      <c r="L10" s="108">
        <v>0</v>
      </c>
      <c r="M10" s="108">
        <f t="shared" si="0"/>
        <v>20507</v>
      </c>
      <c r="N10" s="108">
        <f t="shared" si="1"/>
        <v>94576</v>
      </c>
      <c r="P10" s="118" t="s">
        <v>60</v>
      </c>
      <c r="Q10" s="71">
        <v>19475</v>
      </c>
      <c r="R10" s="120">
        <v>121691</v>
      </c>
      <c r="T10" s="120">
        <f t="shared" si="2"/>
        <v>-27115</v>
      </c>
    </row>
    <row r="11" spans="1:20" x14ac:dyDescent="0.2">
      <c r="A11" s="65">
        <v>6</v>
      </c>
      <c r="B11" s="110" t="s">
        <v>244</v>
      </c>
      <c r="C11" s="108">
        <v>125</v>
      </c>
      <c r="D11" s="108">
        <v>169.91</v>
      </c>
      <c r="E11" s="108">
        <v>6</v>
      </c>
      <c r="F11" s="108">
        <v>68.23</v>
      </c>
      <c r="G11" s="108">
        <v>0</v>
      </c>
      <c r="H11" s="108">
        <v>0</v>
      </c>
      <c r="I11" s="108">
        <v>0</v>
      </c>
      <c r="J11" s="108">
        <v>0</v>
      </c>
      <c r="K11" s="108">
        <v>2</v>
      </c>
      <c r="L11" s="108">
        <v>4.78</v>
      </c>
      <c r="M11" s="108">
        <f t="shared" si="0"/>
        <v>133</v>
      </c>
      <c r="N11" s="108">
        <f t="shared" si="1"/>
        <v>242.92</v>
      </c>
      <c r="P11" s="118" t="s">
        <v>244</v>
      </c>
      <c r="Q11" s="71">
        <v>339</v>
      </c>
      <c r="R11" s="120">
        <v>390.64</v>
      </c>
      <c r="T11" s="120">
        <f t="shared" si="2"/>
        <v>-147.72</v>
      </c>
    </row>
    <row r="12" spans="1:20" x14ac:dyDescent="0.2">
      <c r="A12" s="65">
        <v>7</v>
      </c>
      <c r="B12" s="107" t="s">
        <v>61</v>
      </c>
      <c r="C12" s="108">
        <v>23873</v>
      </c>
      <c r="D12" s="108">
        <v>69925</v>
      </c>
      <c r="E12" s="108">
        <v>2162</v>
      </c>
      <c r="F12" s="108">
        <v>69253</v>
      </c>
      <c r="G12" s="108">
        <v>91</v>
      </c>
      <c r="H12" s="108">
        <v>9997</v>
      </c>
      <c r="I12" s="108">
        <v>258</v>
      </c>
      <c r="J12" s="108">
        <v>1254</v>
      </c>
      <c r="K12" s="108">
        <v>1414</v>
      </c>
      <c r="L12" s="108">
        <v>4004</v>
      </c>
      <c r="M12" s="108">
        <f t="shared" si="0"/>
        <v>27798</v>
      </c>
      <c r="N12" s="108">
        <f t="shared" si="1"/>
        <v>154433</v>
      </c>
      <c r="P12" s="118" t="s">
        <v>61</v>
      </c>
      <c r="Q12" s="71">
        <v>16530</v>
      </c>
      <c r="R12" s="120">
        <v>102343</v>
      </c>
      <c r="T12" s="120">
        <f t="shared" si="2"/>
        <v>52090</v>
      </c>
    </row>
    <row r="13" spans="1:20" x14ac:dyDescent="0.2">
      <c r="A13" s="65">
        <v>8</v>
      </c>
      <c r="B13" s="107" t="s">
        <v>62</v>
      </c>
      <c r="C13" s="108">
        <v>57071</v>
      </c>
      <c r="D13" s="108">
        <v>102332</v>
      </c>
      <c r="E13" s="108">
        <v>10552</v>
      </c>
      <c r="F13" s="108">
        <v>139454</v>
      </c>
      <c r="G13" s="108">
        <v>114</v>
      </c>
      <c r="H13" s="108">
        <v>16326</v>
      </c>
      <c r="I13" s="108">
        <v>736</v>
      </c>
      <c r="J13" s="108">
        <v>1287</v>
      </c>
      <c r="K13" s="108">
        <v>0</v>
      </c>
      <c r="L13" s="108">
        <v>0</v>
      </c>
      <c r="M13" s="108">
        <f t="shared" si="0"/>
        <v>68473</v>
      </c>
      <c r="N13" s="108">
        <f t="shared" si="1"/>
        <v>259399</v>
      </c>
      <c r="P13" s="118" t="s">
        <v>62</v>
      </c>
      <c r="Q13" s="71">
        <v>24063</v>
      </c>
      <c r="R13" s="120">
        <v>242862.32999999996</v>
      </c>
      <c r="T13" s="120">
        <f t="shared" si="2"/>
        <v>16536.670000000042</v>
      </c>
    </row>
    <row r="14" spans="1:20" x14ac:dyDescent="0.2">
      <c r="A14" s="65">
        <v>9</v>
      </c>
      <c r="B14" s="107" t="s">
        <v>49</v>
      </c>
      <c r="C14" s="108">
        <v>6258</v>
      </c>
      <c r="D14" s="108">
        <v>17465</v>
      </c>
      <c r="E14" s="108">
        <v>164</v>
      </c>
      <c r="F14" s="108">
        <v>26463</v>
      </c>
      <c r="G14" s="108">
        <v>11</v>
      </c>
      <c r="H14" s="108">
        <v>3066</v>
      </c>
      <c r="I14" s="108">
        <v>155</v>
      </c>
      <c r="J14" s="108">
        <v>444</v>
      </c>
      <c r="K14" s="108">
        <v>0</v>
      </c>
      <c r="L14" s="108">
        <v>0</v>
      </c>
      <c r="M14" s="108">
        <f t="shared" si="0"/>
        <v>6588</v>
      </c>
      <c r="N14" s="108">
        <f t="shared" si="1"/>
        <v>47438</v>
      </c>
      <c r="P14" s="118" t="s">
        <v>49</v>
      </c>
      <c r="Q14" s="71">
        <v>7607</v>
      </c>
      <c r="R14" s="120">
        <v>42348.57</v>
      </c>
      <c r="T14" s="120">
        <f t="shared" si="2"/>
        <v>5089.43</v>
      </c>
    </row>
    <row r="15" spans="1:20" x14ac:dyDescent="0.2">
      <c r="A15" s="65">
        <v>10</v>
      </c>
      <c r="B15" s="107" t="s">
        <v>50</v>
      </c>
      <c r="C15" s="108">
        <v>9366</v>
      </c>
      <c r="D15" s="108">
        <v>23520</v>
      </c>
      <c r="E15" s="108">
        <v>286</v>
      </c>
      <c r="F15" s="108">
        <v>6436</v>
      </c>
      <c r="G15" s="108">
        <v>5</v>
      </c>
      <c r="H15" s="108">
        <v>2186</v>
      </c>
      <c r="I15" s="108">
        <v>49</v>
      </c>
      <c r="J15" s="108">
        <v>27</v>
      </c>
      <c r="K15" s="108">
        <v>0</v>
      </c>
      <c r="L15" s="108">
        <v>0</v>
      </c>
      <c r="M15" s="108">
        <f t="shared" si="0"/>
        <v>9706</v>
      </c>
      <c r="N15" s="108">
        <f t="shared" si="1"/>
        <v>32169</v>
      </c>
      <c r="P15" s="118" t="s">
        <v>50</v>
      </c>
      <c r="Q15" s="71">
        <v>9736</v>
      </c>
      <c r="R15" s="120">
        <v>32977</v>
      </c>
      <c r="T15" s="120">
        <f t="shared" si="2"/>
        <v>-808</v>
      </c>
    </row>
    <row r="16" spans="1:20" x14ac:dyDescent="0.2">
      <c r="A16" s="65">
        <v>11</v>
      </c>
      <c r="B16" s="107" t="s">
        <v>82</v>
      </c>
      <c r="C16" s="108">
        <v>24115</v>
      </c>
      <c r="D16" s="108">
        <v>49075</v>
      </c>
      <c r="E16" s="108">
        <v>561</v>
      </c>
      <c r="F16" s="108">
        <v>23687</v>
      </c>
      <c r="G16" s="108">
        <v>31</v>
      </c>
      <c r="H16" s="108">
        <v>5743</v>
      </c>
      <c r="I16" s="108">
        <v>31</v>
      </c>
      <c r="J16" s="108">
        <v>3567</v>
      </c>
      <c r="K16" s="108">
        <v>0</v>
      </c>
      <c r="L16" s="108">
        <v>0</v>
      </c>
      <c r="M16" s="108">
        <f t="shared" si="0"/>
        <v>24738</v>
      </c>
      <c r="N16" s="108">
        <f t="shared" si="1"/>
        <v>82072</v>
      </c>
      <c r="P16" s="118" t="s">
        <v>245</v>
      </c>
      <c r="Q16" s="71">
        <v>23460</v>
      </c>
      <c r="R16" s="120">
        <v>85453</v>
      </c>
      <c r="T16" s="120">
        <f t="shared" si="2"/>
        <v>-3381</v>
      </c>
    </row>
    <row r="17" spans="1:20" x14ac:dyDescent="0.2">
      <c r="A17" s="65">
        <v>12</v>
      </c>
      <c r="B17" s="107" t="s">
        <v>63</v>
      </c>
      <c r="C17" s="108">
        <v>1932</v>
      </c>
      <c r="D17" s="108">
        <v>4832</v>
      </c>
      <c r="E17" s="108">
        <v>129</v>
      </c>
      <c r="F17" s="108">
        <v>1015</v>
      </c>
      <c r="G17" s="108">
        <v>11</v>
      </c>
      <c r="H17" s="108">
        <v>124</v>
      </c>
      <c r="I17" s="108">
        <v>92</v>
      </c>
      <c r="J17" s="108">
        <v>209</v>
      </c>
      <c r="K17" s="108">
        <v>2122</v>
      </c>
      <c r="L17" s="108">
        <v>6115</v>
      </c>
      <c r="M17" s="108">
        <f t="shared" si="0"/>
        <v>4286</v>
      </c>
      <c r="N17" s="108">
        <f t="shared" si="1"/>
        <v>12295</v>
      </c>
      <c r="P17" s="118" t="s">
        <v>63</v>
      </c>
      <c r="Q17" s="71">
        <v>2070</v>
      </c>
      <c r="R17" s="120">
        <v>6031.9000000000005</v>
      </c>
      <c r="T17" s="120">
        <f t="shared" si="2"/>
        <v>6263.0999999999995</v>
      </c>
    </row>
    <row r="18" spans="1:20" x14ac:dyDescent="0.2">
      <c r="A18" s="65">
        <v>13</v>
      </c>
      <c r="B18" s="107" t="s">
        <v>64</v>
      </c>
      <c r="C18" s="108">
        <v>3510</v>
      </c>
      <c r="D18" s="108">
        <v>8397</v>
      </c>
      <c r="E18" s="108">
        <v>514</v>
      </c>
      <c r="F18" s="108">
        <v>12519</v>
      </c>
      <c r="G18" s="108">
        <v>24</v>
      </c>
      <c r="H18" s="108">
        <v>4947</v>
      </c>
      <c r="I18" s="108">
        <v>153</v>
      </c>
      <c r="J18" s="108">
        <v>1224</v>
      </c>
      <c r="K18" s="108">
        <v>19</v>
      </c>
      <c r="L18" s="108">
        <v>20939</v>
      </c>
      <c r="M18" s="108">
        <f t="shared" si="0"/>
        <v>4220</v>
      </c>
      <c r="N18" s="108">
        <f t="shared" si="1"/>
        <v>48026</v>
      </c>
      <c r="P18" s="118" t="s">
        <v>64</v>
      </c>
      <c r="Q18" s="71">
        <v>1646</v>
      </c>
      <c r="R18" s="120">
        <v>34209.08</v>
      </c>
      <c r="T18" s="120">
        <f t="shared" si="2"/>
        <v>13816.919999999998</v>
      </c>
    </row>
    <row r="19" spans="1:20" x14ac:dyDescent="0.2">
      <c r="A19" s="65">
        <v>14</v>
      </c>
      <c r="B19" s="111" t="s">
        <v>208</v>
      </c>
      <c r="C19" s="108">
        <v>7387</v>
      </c>
      <c r="D19" s="108">
        <v>21861.919999999998</v>
      </c>
      <c r="E19" s="108">
        <v>1135</v>
      </c>
      <c r="F19" s="108">
        <v>18247.099999999999</v>
      </c>
      <c r="G19" s="108">
        <v>41</v>
      </c>
      <c r="H19" s="108">
        <v>1748.58</v>
      </c>
      <c r="I19" s="108">
        <v>0</v>
      </c>
      <c r="J19" s="108">
        <v>0</v>
      </c>
      <c r="K19" s="108">
        <v>79</v>
      </c>
      <c r="L19" s="108">
        <v>54.88</v>
      </c>
      <c r="M19" s="108">
        <f t="shared" si="0"/>
        <v>8642</v>
      </c>
      <c r="N19" s="108">
        <f t="shared" si="1"/>
        <v>41912.479999999996</v>
      </c>
      <c r="P19" s="118" t="s">
        <v>268</v>
      </c>
      <c r="Q19" s="71">
        <v>8638</v>
      </c>
      <c r="R19" s="120">
        <v>46337.82</v>
      </c>
      <c r="T19" s="120">
        <f t="shared" si="2"/>
        <v>-4425.3400000000038</v>
      </c>
    </row>
    <row r="20" spans="1:20" x14ac:dyDescent="0.2">
      <c r="A20" s="65">
        <v>15</v>
      </c>
      <c r="B20" s="107" t="s">
        <v>209</v>
      </c>
      <c r="C20" s="108">
        <v>1911</v>
      </c>
      <c r="D20" s="108">
        <v>9406</v>
      </c>
      <c r="E20" s="108">
        <v>4187</v>
      </c>
      <c r="F20" s="108">
        <v>21625</v>
      </c>
      <c r="G20" s="108">
        <v>6</v>
      </c>
      <c r="H20" s="108">
        <v>2889</v>
      </c>
      <c r="I20" s="108">
        <v>16</v>
      </c>
      <c r="J20" s="108">
        <v>31</v>
      </c>
      <c r="K20" s="108">
        <v>0</v>
      </c>
      <c r="L20" s="108">
        <v>0</v>
      </c>
      <c r="M20" s="108">
        <f t="shared" si="0"/>
        <v>6120</v>
      </c>
      <c r="N20" s="108">
        <f t="shared" si="1"/>
        <v>33951</v>
      </c>
      <c r="P20" s="118" t="s">
        <v>247</v>
      </c>
      <c r="Q20" s="71">
        <v>5944</v>
      </c>
      <c r="R20" s="120">
        <v>30468.1</v>
      </c>
      <c r="T20" s="120">
        <f t="shared" si="2"/>
        <v>3482.9000000000015</v>
      </c>
    </row>
    <row r="21" spans="1:20" x14ac:dyDescent="0.2">
      <c r="A21" s="65">
        <v>16</v>
      </c>
      <c r="B21" s="107" t="s">
        <v>65</v>
      </c>
      <c r="C21" s="108">
        <v>30461</v>
      </c>
      <c r="D21" s="108">
        <v>112273</v>
      </c>
      <c r="E21" s="108">
        <v>2616</v>
      </c>
      <c r="F21" s="108">
        <v>162663</v>
      </c>
      <c r="G21" s="108">
        <v>129</v>
      </c>
      <c r="H21" s="108">
        <v>31426</v>
      </c>
      <c r="I21" s="108">
        <v>26</v>
      </c>
      <c r="J21" s="108">
        <v>36</v>
      </c>
      <c r="K21" s="108">
        <v>0</v>
      </c>
      <c r="L21" s="108">
        <v>0</v>
      </c>
      <c r="M21" s="108">
        <f t="shared" si="0"/>
        <v>33232</v>
      </c>
      <c r="N21" s="108">
        <f t="shared" si="1"/>
        <v>306398</v>
      </c>
      <c r="P21" s="118" t="s">
        <v>65</v>
      </c>
      <c r="Q21" s="71">
        <v>31889</v>
      </c>
      <c r="R21" s="120">
        <v>302552</v>
      </c>
      <c r="T21" s="120">
        <f t="shared" si="2"/>
        <v>3846</v>
      </c>
    </row>
    <row r="22" spans="1:20" x14ac:dyDescent="0.2">
      <c r="A22" s="65">
        <v>17</v>
      </c>
      <c r="B22" s="112" t="s">
        <v>70</v>
      </c>
      <c r="C22" s="108">
        <v>450</v>
      </c>
      <c r="D22" s="108">
        <v>3268.72</v>
      </c>
      <c r="E22" s="108">
        <v>68</v>
      </c>
      <c r="F22" s="108">
        <v>3524.98</v>
      </c>
      <c r="G22" s="108">
        <v>0</v>
      </c>
      <c r="H22" s="108">
        <v>0</v>
      </c>
      <c r="I22" s="108">
        <v>4</v>
      </c>
      <c r="J22" s="108">
        <v>201</v>
      </c>
      <c r="K22" s="108">
        <v>0</v>
      </c>
      <c r="L22" s="108">
        <v>0</v>
      </c>
      <c r="M22" s="108">
        <f t="shared" si="0"/>
        <v>522</v>
      </c>
      <c r="N22" s="108">
        <f t="shared" si="1"/>
        <v>6994.7</v>
      </c>
      <c r="P22" s="118" t="s">
        <v>248</v>
      </c>
      <c r="Q22" s="71">
        <v>90</v>
      </c>
      <c r="R22" s="120">
        <v>3876.83</v>
      </c>
      <c r="T22" s="120">
        <f t="shared" si="2"/>
        <v>3117.87</v>
      </c>
    </row>
    <row r="23" spans="1:20" x14ac:dyDescent="0.2">
      <c r="A23" s="65">
        <v>18</v>
      </c>
      <c r="B23" s="107" t="s">
        <v>210</v>
      </c>
      <c r="C23" s="108">
        <v>75</v>
      </c>
      <c r="D23" s="108">
        <v>953.73</v>
      </c>
      <c r="E23" s="108">
        <v>3</v>
      </c>
      <c r="F23" s="108">
        <v>34.19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f t="shared" si="0"/>
        <v>78</v>
      </c>
      <c r="N23" s="108">
        <f t="shared" si="1"/>
        <v>987.92000000000007</v>
      </c>
      <c r="P23" s="118" t="s">
        <v>249</v>
      </c>
      <c r="Q23" s="71">
        <v>78</v>
      </c>
      <c r="R23" s="120">
        <v>987.92000000000007</v>
      </c>
      <c r="T23" s="120">
        <f t="shared" si="2"/>
        <v>0</v>
      </c>
    </row>
    <row r="24" spans="1:20" x14ac:dyDescent="0.2">
      <c r="A24" s="65">
        <v>19</v>
      </c>
      <c r="B24" s="113" t="s">
        <v>211</v>
      </c>
      <c r="C24" s="108">
        <v>150</v>
      </c>
      <c r="D24" s="108">
        <v>1150</v>
      </c>
      <c r="E24" s="108">
        <v>25</v>
      </c>
      <c r="F24" s="108">
        <v>350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f t="shared" si="0"/>
        <v>175</v>
      </c>
      <c r="N24" s="108">
        <f t="shared" si="1"/>
        <v>1500</v>
      </c>
      <c r="P24" s="118" t="s">
        <v>250</v>
      </c>
      <c r="Q24" s="71">
        <v>160</v>
      </c>
      <c r="R24" s="120">
        <v>1456.47</v>
      </c>
      <c r="T24" s="120">
        <f t="shared" si="2"/>
        <v>43.529999999999973</v>
      </c>
    </row>
    <row r="25" spans="1:20" x14ac:dyDescent="0.2">
      <c r="A25" s="65">
        <v>20</v>
      </c>
      <c r="B25" s="107" t="s">
        <v>212</v>
      </c>
      <c r="C25" s="108">
        <v>0</v>
      </c>
      <c r="D25" s="108">
        <v>0</v>
      </c>
      <c r="E25" s="108">
        <v>48</v>
      </c>
      <c r="F25" s="108">
        <v>465</v>
      </c>
      <c r="G25" s="108">
        <v>105</v>
      </c>
      <c r="H25" s="108">
        <v>7642</v>
      </c>
      <c r="I25" s="108">
        <v>0</v>
      </c>
      <c r="J25" s="108">
        <v>0</v>
      </c>
      <c r="K25" s="108">
        <v>300</v>
      </c>
      <c r="L25" s="108">
        <v>30440</v>
      </c>
      <c r="M25" s="108">
        <f t="shared" si="0"/>
        <v>453</v>
      </c>
      <c r="N25" s="108">
        <f t="shared" si="1"/>
        <v>38547</v>
      </c>
      <c r="P25" s="118" t="s">
        <v>251</v>
      </c>
      <c r="Q25" s="71">
        <v>48</v>
      </c>
      <c r="R25" s="120">
        <v>876</v>
      </c>
      <c r="T25" s="120">
        <f t="shared" si="2"/>
        <v>37671</v>
      </c>
    </row>
    <row r="26" spans="1:20" x14ac:dyDescent="0.2">
      <c r="A26" s="65">
        <v>21</v>
      </c>
      <c r="B26" s="107" t="s">
        <v>213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f t="shared" si="0"/>
        <v>0</v>
      </c>
      <c r="N26" s="108">
        <f t="shared" si="1"/>
        <v>0</v>
      </c>
      <c r="P26" s="118" t="s">
        <v>252</v>
      </c>
      <c r="Q26" s="71">
        <v>1513</v>
      </c>
      <c r="R26" s="120">
        <v>6915.23</v>
      </c>
      <c r="T26" s="120">
        <f t="shared" si="2"/>
        <v>-6915.23</v>
      </c>
    </row>
    <row r="27" spans="1:20" x14ac:dyDescent="0.2">
      <c r="A27" s="65">
        <v>22</v>
      </c>
      <c r="B27" s="107" t="s">
        <v>71</v>
      </c>
      <c r="C27" s="108">
        <v>78081</v>
      </c>
      <c r="D27" s="108">
        <v>116552</v>
      </c>
      <c r="E27" s="108">
        <v>8332</v>
      </c>
      <c r="F27" s="108">
        <v>263934</v>
      </c>
      <c r="G27" s="108">
        <v>301</v>
      </c>
      <c r="H27" s="108">
        <v>83223</v>
      </c>
      <c r="I27" s="108">
        <v>909</v>
      </c>
      <c r="J27" s="108">
        <v>3089</v>
      </c>
      <c r="K27" s="108">
        <v>1210</v>
      </c>
      <c r="L27" s="108">
        <v>27879</v>
      </c>
      <c r="M27" s="108">
        <f t="shared" si="0"/>
        <v>88833</v>
      </c>
      <c r="N27" s="108">
        <f t="shared" si="1"/>
        <v>494677</v>
      </c>
      <c r="P27" s="118" t="s">
        <v>71</v>
      </c>
      <c r="Q27" s="71">
        <v>576325</v>
      </c>
      <c r="R27" s="120">
        <v>1252800</v>
      </c>
      <c r="T27" s="120">
        <f t="shared" si="2"/>
        <v>-758123</v>
      </c>
    </row>
    <row r="28" spans="1:20" x14ac:dyDescent="0.2">
      <c r="A28" s="65">
        <v>23</v>
      </c>
      <c r="B28" s="107" t="s">
        <v>66</v>
      </c>
      <c r="C28" s="108">
        <v>10315</v>
      </c>
      <c r="D28" s="108">
        <v>17914</v>
      </c>
      <c r="E28" s="108">
        <v>1853</v>
      </c>
      <c r="F28" s="108">
        <v>13383</v>
      </c>
      <c r="G28" s="108">
        <v>14</v>
      </c>
      <c r="H28" s="108">
        <v>1531</v>
      </c>
      <c r="I28" s="108">
        <v>4</v>
      </c>
      <c r="J28" s="108">
        <v>19</v>
      </c>
      <c r="K28" s="108">
        <v>530</v>
      </c>
      <c r="L28" s="108">
        <v>2312</v>
      </c>
      <c r="M28" s="108">
        <f t="shared" si="0"/>
        <v>12716</v>
      </c>
      <c r="N28" s="108">
        <f t="shared" si="1"/>
        <v>35159</v>
      </c>
      <c r="P28" s="118" t="s">
        <v>66</v>
      </c>
      <c r="Q28" s="71">
        <v>12529</v>
      </c>
      <c r="R28" s="120">
        <v>41721</v>
      </c>
      <c r="T28" s="120">
        <f t="shared" si="2"/>
        <v>-6562</v>
      </c>
    </row>
    <row r="29" spans="1:20" x14ac:dyDescent="0.2">
      <c r="A29" s="65">
        <v>24</v>
      </c>
      <c r="B29" s="107" t="s">
        <v>214</v>
      </c>
      <c r="C29" s="108">
        <v>4113</v>
      </c>
      <c r="D29" s="108">
        <v>61333</v>
      </c>
      <c r="E29" s="108">
        <v>3243</v>
      </c>
      <c r="F29" s="108">
        <v>73547</v>
      </c>
      <c r="G29" s="108">
        <v>991</v>
      </c>
      <c r="H29" s="108">
        <v>42740</v>
      </c>
      <c r="I29" s="108">
        <v>97</v>
      </c>
      <c r="J29" s="108">
        <v>113</v>
      </c>
      <c r="K29" s="108">
        <v>2095</v>
      </c>
      <c r="L29" s="108">
        <v>9315</v>
      </c>
      <c r="M29" s="108">
        <f t="shared" si="0"/>
        <v>10539</v>
      </c>
      <c r="N29" s="108">
        <f t="shared" si="1"/>
        <v>187048</v>
      </c>
      <c r="P29" s="118" t="s">
        <v>214</v>
      </c>
      <c r="Q29" s="71">
        <v>10637</v>
      </c>
      <c r="R29" s="120">
        <v>201134</v>
      </c>
      <c r="T29" s="120">
        <f t="shared" si="2"/>
        <v>-14086</v>
      </c>
    </row>
    <row r="30" spans="1:20" x14ac:dyDescent="0.2">
      <c r="A30" s="65">
        <v>25</v>
      </c>
      <c r="B30" s="107" t="s">
        <v>67</v>
      </c>
      <c r="C30" s="108">
        <v>36088</v>
      </c>
      <c r="D30" s="108">
        <v>77485.69</v>
      </c>
      <c r="E30" s="108">
        <v>3626</v>
      </c>
      <c r="F30" s="108">
        <v>74461.56</v>
      </c>
      <c r="G30" s="108">
        <v>423</v>
      </c>
      <c r="H30" s="108">
        <v>17197.580000000002</v>
      </c>
      <c r="I30" s="108">
        <v>83</v>
      </c>
      <c r="J30" s="108">
        <v>300.88</v>
      </c>
      <c r="K30" s="108">
        <v>2</v>
      </c>
      <c r="L30" s="108">
        <v>1.03</v>
      </c>
      <c r="M30" s="108">
        <f t="shared" si="0"/>
        <v>40222</v>
      </c>
      <c r="N30" s="108">
        <f t="shared" si="1"/>
        <v>169446.74000000002</v>
      </c>
      <c r="P30" s="118" t="s">
        <v>67</v>
      </c>
      <c r="Q30" s="71">
        <v>44985</v>
      </c>
      <c r="R30" s="120">
        <v>173609.19</v>
      </c>
      <c r="T30" s="120">
        <f t="shared" si="2"/>
        <v>-4162.4499999999825</v>
      </c>
    </row>
    <row r="31" spans="1:20" x14ac:dyDescent="0.2">
      <c r="A31" s="65">
        <v>26</v>
      </c>
      <c r="B31" s="110" t="s">
        <v>68</v>
      </c>
      <c r="C31" s="108">
        <v>776</v>
      </c>
      <c r="D31" s="108">
        <v>4069</v>
      </c>
      <c r="E31" s="108">
        <v>1</v>
      </c>
      <c r="F31" s="108">
        <v>20</v>
      </c>
      <c r="G31" s="108">
        <v>275</v>
      </c>
      <c r="H31" s="108">
        <v>2193</v>
      </c>
      <c r="I31" s="108">
        <v>2</v>
      </c>
      <c r="J31" s="108">
        <v>0.3</v>
      </c>
      <c r="K31" s="108">
        <v>0</v>
      </c>
      <c r="L31" s="108">
        <v>0</v>
      </c>
      <c r="M31" s="108">
        <f t="shared" si="0"/>
        <v>1054</v>
      </c>
      <c r="N31" s="108">
        <f t="shared" si="1"/>
        <v>6282.3</v>
      </c>
      <c r="P31" s="118" t="s">
        <v>68</v>
      </c>
      <c r="Q31" s="71">
        <v>956</v>
      </c>
      <c r="R31" s="120">
        <v>8767</v>
      </c>
      <c r="T31" s="120">
        <f t="shared" si="2"/>
        <v>-2484.6999999999998</v>
      </c>
    </row>
    <row r="32" spans="1:20" x14ac:dyDescent="0.2">
      <c r="A32" s="65">
        <v>27</v>
      </c>
      <c r="B32" s="107" t="s">
        <v>51</v>
      </c>
      <c r="C32" s="108">
        <v>5142</v>
      </c>
      <c r="D32" s="108">
        <v>16388</v>
      </c>
      <c r="E32" s="108">
        <v>499</v>
      </c>
      <c r="F32" s="108">
        <v>8617</v>
      </c>
      <c r="G32" s="108">
        <v>11</v>
      </c>
      <c r="H32" s="108">
        <v>1371</v>
      </c>
      <c r="I32" s="108">
        <v>0</v>
      </c>
      <c r="J32" s="108">
        <v>0</v>
      </c>
      <c r="K32" s="108">
        <v>2088</v>
      </c>
      <c r="L32" s="108">
        <v>5114</v>
      </c>
      <c r="M32" s="108">
        <f t="shared" si="0"/>
        <v>7740</v>
      </c>
      <c r="N32" s="108">
        <f t="shared" si="1"/>
        <v>31490</v>
      </c>
      <c r="P32" s="118" t="s">
        <v>51</v>
      </c>
      <c r="Q32" s="71">
        <v>7467</v>
      </c>
      <c r="R32" s="120">
        <v>29618.63</v>
      </c>
      <c r="T32" s="120">
        <f t="shared" si="2"/>
        <v>1871.369999999999</v>
      </c>
    </row>
    <row r="33" spans="1:20" s="117" customFormat="1" x14ac:dyDescent="0.2">
      <c r="A33" s="65"/>
      <c r="B33" s="114" t="s">
        <v>407</v>
      </c>
      <c r="C33" s="115">
        <f>SUM(C6:C32)</f>
        <v>427030</v>
      </c>
      <c r="D33" s="115">
        <f t="shared" ref="D33:L33" si="3">SUM(D6:D32)</f>
        <v>1121713.26</v>
      </c>
      <c r="E33" s="115">
        <f t="shared" si="3"/>
        <v>54043</v>
      </c>
      <c r="F33" s="115">
        <f t="shared" si="3"/>
        <v>1265119.77</v>
      </c>
      <c r="G33" s="115">
        <f t="shared" si="3"/>
        <v>3074</v>
      </c>
      <c r="H33" s="115">
        <f t="shared" si="3"/>
        <v>321610.97000000003</v>
      </c>
      <c r="I33" s="115">
        <f t="shared" si="3"/>
        <v>3125</v>
      </c>
      <c r="J33" s="115">
        <f t="shared" si="3"/>
        <v>16091.329999999998</v>
      </c>
      <c r="K33" s="115">
        <f t="shared" si="3"/>
        <v>10190</v>
      </c>
      <c r="L33" s="115">
        <f t="shared" si="3"/>
        <v>106319.69</v>
      </c>
      <c r="M33" s="115">
        <f t="shared" si="0"/>
        <v>497462</v>
      </c>
      <c r="N33" s="115">
        <f t="shared" si="1"/>
        <v>2830855.0200000005</v>
      </c>
      <c r="P33" s="118" t="s">
        <v>253</v>
      </c>
      <c r="Q33" s="117">
        <v>578214</v>
      </c>
      <c r="R33" s="121">
        <v>1266912.45</v>
      </c>
      <c r="T33" s="120">
        <f t="shared" si="2"/>
        <v>1563942.5700000005</v>
      </c>
    </row>
    <row r="34" spans="1:20" x14ac:dyDescent="0.2">
      <c r="A34" s="65">
        <v>28</v>
      </c>
      <c r="B34" s="107" t="s">
        <v>48</v>
      </c>
      <c r="C34" s="108">
        <v>3029</v>
      </c>
      <c r="D34" s="108">
        <v>50751.38</v>
      </c>
      <c r="E34" s="108">
        <v>1166</v>
      </c>
      <c r="F34" s="108">
        <v>68255.45</v>
      </c>
      <c r="G34" s="108">
        <v>152</v>
      </c>
      <c r="H34" s="108">
        <v>19920.61</v>
      </c>
      <c r="I34" s="108">
        <v>1</v>
      </c>
      <c r="J34" s="108">
        <v>80.59</v>
      </c>
      <c r="K34" s="108">
        <v>0</v>
      </c>
      <c r="L34" s="108">
        <v>0</v>
      </c>
      <c r="M34" s="108">
        <f t="shared" si="0"/>
        <v>4348</v>
      </c>
      <c r="N34" s="108">
        <f t="shared" si="1"/>
        <v>139008.03</v>
      </c>
      <c r="P34" s="118" t="s">
        <v>48</v>
      </c>
      <c r="Q34" s="71">
        <v>3810</v>
      </c>
      <c r="R34" s="120">
        <v>129300.79</v>
      </c>
      <c r="T34" s="120">
        <f t="shared" si="2"/>
        <v>9707.2400000000052</v>
      </c>
    </row>
    <row r="35" spans="1:20" x14ac:dyDescent="0.2">
      <c r="A35" s="65">
        <v>29</v>
      </c>
      <c r="B35" s="107" t="s">
        <v>216</v>
      </c>
      <c r="C35" s="108">
        <v>55983</v>
      </c>
      <c r="D35" s="108">
        <v>24958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f t="shared" si="0"/>
        <v>55983</v>
      </c>
      <c r="N35" s="108">
        <f t="shared" si="1"/>
        <v>24958</v>
      </c>
      <c r="P35" s="118" t="s">
        <v>216</v>
      </c>
      <c r="Q35" s="71">
        <v>96674</v>
      </c>
      <c r="R35" s="120">
        <v>30748</v>
      </c>
      <c r="T35" s="120">
        <f t="shared" si="2"/>
        <v>-5790</v>
      </c>
    </row>
    <row r="36" spans="1:20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f t="shared" si="0"/>
        <v>0</v>
      </c>
      <c r="N36" s="108">
        <f t="shared" si="1"/>
        <v>0</v>
      </c>
      <c r="T36" s="120">
        <f t="shared" si="2"/>
        <v>0</v>
      </c>
    </row>
    <row r="37" spans="1:20" x14ac:dyDescent="0.2">
      <c r="A37" s="65">
        <v>31</v>
      </c>
      <c r="B37" s="66" t="s">
        <v>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f t="shared" si="0"/>
        <v>0</v>
      </c>
      <c r="N37" s="108">
        <f t="shared" si="1"/>
        <v>0</v>
      </c>
      <c r="T37" s="120">
        <f t="shared" si="2"/>
        <v>0</v>
      </c>
    </row>
    <row r="38" spans="1:20" x14ac:dyDescent="0.2">
      <c r="A38" s="65">
        <v>32</v>
      </c>
      <c r="B38" s="107" t="s">
        <v>52</v>
      </c>
      <c r="C38" s="108">
        <v>75</v>
      </c>
      <c r="D38" s="108">
        <v>1826.99</v>
      </c>
      <c r="E38" s="108">
        <v>21</v>
      </c>
      <c r="F38" s="108">
        <v>1751.67</v>
      </c>
      <c r="G38" s="108">
        <v>4</v>
      </c>
      <c r="H38" s="108">
        <v>436.81</v>
      </c>
      <c r="I38" s="108">
        <v>0</v>
      </c>
      <c r="J38" s="108">
        <v>0</v>
      </c>
      <c r="K38" s="108">
        <v>0</v>
      </c>
      <c r="L38" s="108">
        <v>0</v>
      </c>
      <c r="M38" s="108">
        <f t="shared" si="0"/>
        <v>100</v>
      </c>
      <c r="N38" s="108">
        <f t="shared" si="1"/>
        <v>4015.47</v>
      </c>
      <c r="P38" s="118" t="s">
        <v>52</v>
      </c>
      <c r="Q38" s="71">
        <v>95</v>
      </c>
      <c r="R38" s="120">
        <v>4504.6887677999994</v>
      </c>
      <c r="T38" s="120">
        <f t="shared" si="2"/>
        <v>-489.21876779999957</v>
      </c>
    </row>
    <row r="39" spans="1:20" x14ac:dyDescent="0.2">
      <c r="A39" s="65">
        <v>33</v>
      </c>
      <c r="B39" s="107" t="s">
        <v>218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f t="shared" si="0"/>
        <v>0</v>
      </c>
      <c r="N39" s="108">
        <f t="shared" si="1"/>
        <v>0</v>
      </c>
      <c r="P39" s="118" t="s">
        <v>254</v>
      </c>
      <c r="Q39" s="71">
        <v>0</v>
      </c>
      <c r="R39" s="120">
        <v>8704</v>
      </c>
      <c r="T39" s="120">
        <f t="shared" si="2"/>
        <v>-8704</v>
      </c>
    </row>
    <row r="40" spans="1:20" x14ac:dyDescent="0.2">
      <c r="A40" s="65">
        <v>34</v>
      </c>
      <c r="B40" s="107" t="s">
        <v>219</v>
      </c>
      <c r="C40" s="108">
        <v>0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f t="shared" si="0"/>
        <v>0</v>
      </c>
      <c r="N40" s="108">
        <f t="shared" si="1"/>
        <v>0</v>
      </c>
      <c r="P40" s="118" t="s">
        <v>255</v>
      </c>
      <c r="Q40" s="71">
        <v>0</v>
      </c>
      <c r="R40" s="120">
        <v>0</v>
      </c>
      <c r="T40" s="120">
        <f t="shared" si="2"/>
        <v>0</v>
      </c>
    </row>
    <row r="41" spans="1:20" x14ac:dyDescent="0.2">
      <c r="A41" s="65">
        <v>35</v>
      </c>
      <c r="B41" s="107" t="s">
        <v>220</v>
      </c>
      <c r="C41" s="108">
        <v>64</v>
      </c>
      <c r="D41" s="108">
        <v>1302.6300000000001</v>
      </c>
      <c r="E41" s="108">
        <v>18</v>
      </c>
      <c r="F41" s="108">
        <v>579.99</v>
      </c>
      <c r="G41" s="108">
        <v>6</v>
      </c>
      <c r="H41" s="108">
        <v>772.37</v>
      </c>
      <c r="I41" s="108">
        <v>0</v>
      </c>
      <c r="J41" s="108">
        <v>0</v>
      </c>
      <c r="K41" s="108">
        <v>1</v>
      </c>
      <c r="L41" s="108">
        <v>1897.35</v>
      </c>
      <c r="M41" s="108">
        <f t="shared" si="0"/>
        <v>89</v>
      </c>
      <c r="N41" s="108">
        <f t="shared" si="1"/>
        <v>4552.34</v>
      </c>
      <c r="P41" s="118" t="s">
        <v>256</v>
      </c>
      <c r="Q41" s="71">
        <v>91</v>
      </c>
      <c r="R41" s="120">
        <v>2781.75</v>
      </c>
      <c r="T41" s="120">
        <f t="shared" si="2"/>
        <v>1770.5900000000001</v>
      </c>
    </row>
    <row r="42" spans="1:20" x14ac:dyDescent="0.2">
      <c r="A42" s="65">
        <v>36</v>
      </c>
      <c r="B42" s="107" t="s">
        <v>72</v>
      </c>
      <c r="C42" s="108">
        <v>141707</v>
      </c>
      <c r="D42" s="108">
        <v>146233</v>
      </c>
      <c r="E42" s="108">
        <v>10290</v>
      </c>
      <c r="F42" s="108">
        <v>113892</v>
      </c>
      <c r="G42" s="108">
        <v>862</v>
      </c>
      <c r="H42" s="108">
        <v>14186</v>
      </c>
      <c r="I42" s="108">
        <v>0</v>
      </c>
      <c r="J42" s="108">
        <v>0</v>
      </c>
      <c r="K42" s="108">
        <v>0</v>
      </c>
      <c r="L42" s="108">
        <v>0</v>
      </c>
      <c r="M42" s="108">
        <f t="shared" si="0"/>
        <v>152859</v>
      </c>
      <c r="N42" s="108">
        <f t="shared" si="1"/>
        <v>274311</v>
      </c>
      <c r="P42" s="118" t="s">
        <v>257</v>
      </c>
      <c r="Q42" s="71">
        <v>141674</v>
      </c>
      <c r="R42" s="120">
        <v>258610.72</v>
      </c>
      <c r="T42" s="120">
        <f t="shared" si="2"/>
        <v>15700.279999999999</v>
      </c>
    </row>
    <row r="43" spans="1:20" x14ac:dyDescent="0.2">
      <c r="A43" s="65">
        <v>37</v>
      </c>
      <c r="B43" s="107" t="s">
        <v>73</v>
      </c>
      <c r="C43" s="108">
        <v>4093</v>
      </c>
      <c r="D43" s="108">
        <v>74531</v>
      </c>
      <c r="E43" s="108">
        <v>12343</v>
      </c>
      <c r="F43" s="108">
        <v>101762.36</v>
      </c>
      <c r="G43" s="108">
        <v>149</v>
      </c>
      <c r="H43" s="108">
        <v>5144.87</v>
      </c>
      <c r="I43" s="108">
        <v>0</v>
      </c>
      <c r="J43" s="108">
        <v>0</v>
      </c>
      <c r="K43" s="108">
        <v>0</v>
      </c>
      <c r="L43" s="108">
        <v>0</v>
      </c>
      <c r="M43" s="108">
        <f t="shared" si="0"/>
        <v>16585</v>
      </c>
      <c r="N43" s="108">
        <f t="shared" si="1"/>
        <v>181438.22999999998</v>
      </c>
      <c r="P43" s="118" t="s">
        <v>258</v>
      </c>
      <c r="Q43" s="71">
        <v>17883</v>
      </c>
      <c r="R43" s="120">
        <v>194050.3</v>
      </c>
      <c r="T43" s="120">
        <f t="shared" si="2"/>
        <v>-12612.070000000007</v>
      </c>
    </row>
    <row r="44" spans="1:20" x14ac:dyDescent="0.2">
      <c r="A44" s="65">
        <v>38</v>
      </c>
      <c r="B44" s="107" t="s">
        <v>221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f t="shared" si="0"/>
        <v>0</v>
      </c>
      <c r="N44" s="108">
        <f t="shared" si="1"/>
        <v>0</v>
      </c>
      <c r="T44" s="120">
        <f t="shared" si="2"/>
        <v>0</v>
      </c>
    </row>
    <row r="45" spans="1:20" x14ac:dyDescent="0.2">
      <c r="A45" s="65">
        <v>39</v>
      </c>
      <c r="B45" s="107" t="s">
        <v>222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87644</v>
      </c>
      <c r="M45" s="108">
        <f t="shared" si="0"/>
        <v>0</v>
      </c>
      <c r="N45" s="108">
        <f t="shared" si="1"/>
        <v>87644</v>
      </c>
      <c r="P45" s="118" t="s">
        <v>259</v>
      </c>
      <c r="Q45" s="71">
        <v>717</v>
      </c>
      <c r="R45" s="120">
        <v>83815</v>
      </c>
      <c r="T45" s="120">
        <f t="shared" si="2"/>
        <v>3829</v>
      </c>
    </row>
    <row r="46" spans="1:20" x14ac:dyDescent="0.2">
      <c r="A46" s="65">
        <v>40</v>
      </c>
      <c r="B46" s="107" t="s">
        <v>223</v>
      </c>
      <c r="C46" s="108">
        <v>120</v>
      </c>
      <c r="D46" s="108">
        <v>528</v>
      </c>
      <c r="E46" s="108">
        <v>115</v>
      </c>
      <c r="F46" s="108">
        <v>253</v>
      </c>
      <c r="G46" s="108">
        <v>0</v>
      </c>
      <c r="H46" s="108">
        <v>0</v>
      </c>
      <c r="I46" s="108">
        <v>0</v>
      </c>
      <c r="J46" s="108">
        <v>0</v>
      </c>
      <c r="K46" s="108"/>
      <c r="L46" s="108">
        <v>0</v>
      </c>
      <c r="M46" s="108">
        <f t="shared" si="0"/>
        <v>235</v>
      </c>
      <c r="N46" s="108">
        <f t="shared" si="1"/>
        <v>781</v>
      </c>
      <c r="P46" s="118" t="s">
        <v>260</v>
      </c>
      <c r="Q46" s="71">
        <v>235</v>
      </c>
      <c r="R46" s="120">
        <v>781</v>
      </c>
      <c r="T46" s="120">
        <f t="shared" si="2"/>
        <v>0</v>
      </c>
    </row>
    <row r="47" spans="1:20" x14ac:dyDescent="0.2">
      <c r="A47" s="65">
        <v>41</v>
      </c>
      <c r="B47" s="107" t="s">
        <v>224</v>
      </c>
      <c r="C47" s="108">
        <v>44</v>
      </c>
      <c r="D47" s="108">
        <v>158.37</v>
      </c>
      <c r="E47" s="108">
        <v>42</v>
      </c>
      <c r="F47" s="108">
        <v>1811.03</v>
      </c>
      <c r="G47" s="108">
        <v>36</v>
      </c>
      <c r="H47" s="108">
        <v>4900.32</v>
      </c>
      <c r="I47" s="108">
        <v>0</v>
      </c>
      <c r="J47" s="108">
        <v>0</v>
      </c>
      <c r="K47" s="108">
        <v>68</v>
      </c>
      <c r="L47" s="108">
        <v>1252.3900000000001</v>
      </c>
      <c r="M47" s="108">
        <f t="shared" si="0"/>
        <v>190</v>
      </c>
      <c r="N47" s="108">
        <f t="shared" si="1"/>
        <v>8122.11</v>
      </c>
      <c r="P47" s="118" t="s">
        <v>261</v>
      </c>
      <c r="Q47" s="71">
        <v>364</v>
      </c>
      <c r="R47" s="120">
        <v>6194</v>
      </c>
      <c r="T47" s="120">
        <f t="shared" si="2"/>
        <v>1928.1099999999997</v>
      </c>
    </row>
    <row r="48" spans="1:20" x14ac:dyDescent="0.2">
      <c r="A48" s="65">
        <v>42</v>
      </c>
      <c r="B48" s="107" t="s">
        <v>225</v>
      </c>
      <c r="C48" s="108">
        <v>0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f t="shared" si="0"/>
        <v>0</v>
      </c>
      <c r="N48" s="108">
        <f t="shared" si="1"/>
        <v>0</v>
      </c>
      <c r="P48" s="118" t="s">
        <v>94</v>
      </c>
      <c r="Q48" s="71">
        <v>12</v>
      </c>
      <c r="R48" s="120">
        <v>106.11</v>
      </c>
      <c r="T48" s="120">
        <f t="shared" si="2"/>
        <v>-106.11</v>
      </c>
    </row>
    <row r="49" spans="1:20" x14ac:dyDescent="0.2">
      <c r="A49" s="65">
        <v>43</v>
      </c>
      <c r="B49" s="116" t="s">
        <v>74</v>
      </c>
      <c r="C49" s="108">
        <v>697</v>
      </c>
      <c r="D49" s="108">
        <v>23454</v>
      </c>
      <c r="E49" s="108">
        <v>1573</v>
      </c>
      <c r="F49" s="108">
        <v>34798</v>
      </c>
      <c r="G49" s="108">
        <v>261</v>
      </c>
      <c r="H49" s="108">
        <v>3691</v>
      </c>
      <c r="I49" s="108">
        <v>0</v>
      </c>
      <c r="J49" s="108">
        <v>0</v>
      </c>
      <c r="K49" s="108">
        <v>0</v>
      </c>
      <c r="L49" s="108">
        <v>0</v>
      </c>
      <c r="M49" s="108">
        <f t="shared" si="0"/>
        <v>2531</v>
      </c>
      <c r="N49" s="108">
        <f t="shared" si="1"/>
        <v>61943</v>
      </c>
      <c r="P49" s="118" t="s">
        <v>262</v>
      </c>
      <c r="Q49" s="71">
        <v>2347</v>
      </c>
      <c r="R49" s="120">
        <v>52944.386000000006</v>
      </c>
      <c r="T49" s="120">
        <f t="shared" si="2"/>
        <v>8998.6139999999941</v>
      </c>
    </row>
    <row r="50" spans="1:20" x14ac:dyDescent="0.2">
      <c r="A50" s="65">
        <v>44</v>
      </c>
      <c r="B50" s="107" t="s">
        <v>226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f t="shared" si="0"/>
        <v>0</v>
      </c>
      <c r="N50" s="108">
        <f t="shared" si="1"/>
        <v>0</v>
      </c>
      <c r="P50" s="118" t="s">
        <v>263</v>
      </c>
      <c r="Q50" s="71">
        <v>2</v>
      </c>
      <c r="R50" s="120">
        <v>121</v>
      </c>
      <c r="T50" s="120">
        <f t="shared" si="2"/>
        <v>-121</v>
      </c>
    </row>
    <row r="51" spans="1:20" x14ac:dyDescent="0.2">
      <c r="A51" s="65">
        <v>45</v>
      </c>
      <c r="B51" s="107" t="s">
        <v>227</v>
      </c>
      <c r="C51" s="108">
        <v>2534</v>
      </c>
      <c r="D51" s="108">
        <v>8429</v>
      </c>
      <c r="E51" s="108">
        <v>294</v>
      </c>
      <c r="F51" s="108">
        <v>6994</v>
      </c>
      <c r="G51" s="108">
        <v>7</v>
      </c>
      <c r="H51" s="108">
        <v>486</v>
      </c>
      <c r="I51" s="108">
        <v>0</v>
      </c>
      <c r="J51" s="108">
        <v>0</v>
      </c>
      <c r="K51" s="108">
        <v>0</v>
      </c>
      <c r="L51" s="108">
        <v>0</v>
      </c>
      <c r="M51" s="108">
        <f t="shared" si="0"/>
        <v>2835</v>
      </c>
      <c r="N51" s="108">
        <f t="shared" si="1"/>
        <v>15909</v>
      </c>
      <c r="P51" s="118" t="s">
        <v>264</v>
      </c>
      <c r="Q51" s="71">
        <v>6022</v>
      </c>
      <c r="R51" s="120">
        <v>13703.927366180009</v>
      </c>
      <c r="T51" s="120">
        <f t="shared" si="2"/>
        <v>2205.0726338199911</v>
      </c>
    </row>
    <row r="52" spans="1:20" x14ac:dyDescent="0.2">
      <c r="A52" s="65">
        <v>46</v>
      </c>
      <c r="B52" s="107" t="s">
        <v>228</v>
      </c>
      <c r="C52" s="108">
        <v>13</v>
      </c>
      <c r="D52" s="108">
        <v>194.54</v>
      </c>
      <c r="E52" s="108">
        <v>61</v>
      </c>
      <c r="F52" s="108">
        <v>2101.34</v>
      </c>
      <c r="G52" s="108">
        <v>3</v>
      </c>
      <c r="H52" s="108">
        <v>96.98</v>
      </c>
      <c r="I52" s="108">
        <v>0</v>
      </c>
      <c r="J52" s="108">
        <v>0</v>
      </c>
      <c r="K52" s="108">
        <v>77</v>
      </c>
      <c r="L52" s="108">
        <f>2392.86-119</f>
        <v>2273.86</v>
      </c>
      <c r="M52" s="108">
        <f t="shared" si="0"/>
        <v>154</v>
      </c>
      <c r="N52" s="108">
        <f t="shared" si="1"/>
        <v>4666.72</v>
      </c>
      <c r="P52" s="118" t="s">
        <v>228</v>
      </c>
      <c r="Q52" s="71">
        <v>77</v>
      </c>
      <c r="R52" s="120">
        <v>1592.8600000000001</v>
      </c>
      <c r="T52" s="120">
        <f t="shared" si="2"/>
        <v>3073.86</v>
      </c>
    </row>
    <row r="53" spans="1:20" x14ac:dyDescent="0.2">
      <c r="A53" s="65">
        <v>47</v>
      </c>
      <c r="B53" s="107" t="s">
        <v>78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f t="shared" si="0"/>
        <v>0</v>
      </c>
      <c r="N53" s="108">
        <f t="shared" si="1"/>
        <v>0</v>
      </c>
      <c r="T53" s="120">
        <f t="shared" si="2"/>
        <v>0</v>
      </c>
    </row>
    <row r="54" spans="1:20" x14ac:dyDescent="0.2">
      <c r="A54" s="65">
        <v>48</v>
      </c>
      <c r="B54" s="107" t="s">
        <v>229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f t="shared" si="0"/>
        <v>0</v>
      </c>
      <c r="N54" s="108">
        <f t="shared" si="1"/>
        <v>0</v>
      </c>
      <c r="T54" s="120">
        <f t="shared" si="2"/>
        <v>0</v>
      </c>
    </row>
    <row r="55" spans="1:20" x14ac:dyDescent="0.2">
      <c r="A55" s="65">
        <v>49</v>
      </c>
      <c r="B55" s="107" t="s">
        <v>77</v>
      </c>
      <c r="C55" s="301">
        <v>6521</v>
      </c>
      <c r="D55" s="301">
        <v>26097</v>
      </c>
      <c r="E55" s="302">
        <v>503</v>
      </c>
      <c r="F55" s="301">
        <v>11657</v>
      </c>
      <c r="G55" s="302">
        <v>14</v>
      </c>
      <c r="H55" s="301">
        <v>2137</v>
      </c>
      <c r="I55" s="302">
        <v>0</v>
      </c>
      <c r="J55" s="301">
        <v>0</v>
      </c>
      <c r="K55" s="302">
        <v>1</v>
      </c>
      <c r="L55" s="303">
        <v>0.72</v>
      </c>
      <c r="M55" s="108">
        <f t="shared" si="0"/>
        <v>7039</v>
      </c>
      <c r="N55" s="108">
        <f t="shared" si="1"/>
        <v>39891.72</v>
      </c>
      <c r="P55" s="118" t="s">
        <v>77</v>
      </c>
      <c r="Q55" s="71">
        <v>6490</v>
      </c>
      <c r="R55" s="120">
        <v>39455.79</v>
      </c>
      <c r="T55" s="120">
        <f t="shared" si="2"/>
        <v>435.93000000000029</v>
      </c>
    </row>
    <row r="56" spans="1:20" x14ac:dyDescent="0.2">
      <c r="A56" s="270"/>
      <c r="B56" s="114" t="s">
        <v>408</v>
      </c>
      <c r="C56" s="115">
        <f>SUM(C34:C55)</f>
        <v>214880</v>
      </c>
      <c r="D56" s="115">
        <f t="shared" ref="D56:L56" si="4">SUM(D34:D55)</f>
        <v>358463.91</v>
      </c>
      <c r="E56" s="115">
        <f t="shared" si="4"/>
        <v>26426</v>
      </c>
      <c r="F56" s="115">
        <f t="shared" si="4"/>
        <v>343855.84</v>
      </c>
      <c r="G56" s="115">
        <f t="shared" si="4"/>
        <v>1494</v>
      </c>
      <c r="H56" s="115">
        <f t="shared" si="4"/>
        <v>51771.960000000006</v>
      </c>
      <c r="I56" s="115">
        <f t="shared" si="4"/>
        <v>1</v>
      </c>
      <c r="J56" s="115">
        <f t="shared" si="4"/>
        <v>80.59</v>
      </c>
      <c r="K56" s="115">
        <f t="shared" si="4"/>
        <v>147</v>
      </c>
      <c r="L56" s="115">
        <f t="shared" si="4"/>
        <v>93068.32</v>
      </c>
      <c r="M56" s="115">
        <f t="shared" si="0"/>
        <v>242948</v>
      </c>
      <c r="N56" s="115">
        <f t="shared" si="1"/>
        <v>847240.61999999988</v>
      </c>
      <c r="T56" s="120">
        <f t="shared" si="2"/>
        <v>847240.61999999988</v>
      </c>
    </row>
    <row r="57" spans="1:20" x14ac:dyDescent="0.2">
      <c r="A57" s="65">
        <v>48</v>
      </c>
      <c r="B57" s="107" t="s">
        <v>47</v>
      </c>
      <c r="C57" s="108">
        <v>35786</v>
      </c>
      <c r="D57" s="108">
        <v>19568.54</v>
      </c>
      <c r="E57" s="108">
        <v>7334</v>
      </c>
      <c r="F57" s="108">
        <v>4010.42</v>
      </c>
      <c r="G57" s="108">
        <v>0</v>
      </c>
      <c r="H57" s="108">
        <v>0</v>
      </c>
      <c r="I57" s="108">
        <v>2462</v>
      </c>
      <c r="J57" s="108">
        <v>1345.94</v>
      </c>
      <c r="K57" s="108">
        <v>0</v>
      </c>
      <c r="L57" s="108">
        <v>0</v>
      </c>
      <c r="M57" s="108">
        <f t="shared" si="0"/>
        <v>45582</v>
      </c>
      <c r="N57" s="108">
        <f t="shared" si="1"/>
        <v>24924.899999999998</v>
      </c>
      <c r="P57" s="118" t="s">
        <v>47</v>
      </c>
      <c r="Q57" s="71">
        <v>113141</v>
      </c>
      <c r="R57" s="120">
        <v>24731</v>
      </c>
      <c r="T57" s="120">
        <f t="shared" si="2"/>
        <v>193.89999999999782</v>
      </c>
    </row>
    <row r="58" spans="1:20" x14ac:dyDescent="0.2">
      <c r="A58" s="65">
        <v>49</v>
      </c>
      <c r="B58" s="107" t="s">
        <v>230</v>
      </c>
      <c r="C58" s="108">
        <v>39520</v>
      </c>
      <c r="D58" s="108">
        <v>21003</v>
      </c>
      <c r="E58" s="108">
        <v>0</v>
      </c>
      <c r="F58" s="108">
        <v>0</v>
      </c>
      <c r="G58" s="108">
        <v>0</v>
      </c>
      <c r="H58" s="108">
        <v>0</v>
      </c>
      <c r="I58" s="108">
        <v>72</v>
      </c>
      <c r="J58" s="108">
        <v>149</v>
      </c>
      <c r="K58" s="108">
        <v>0</v>
      </c>
      <c r="L58" s="108">
        <v>0</v>
      </c>
      <c r="M58" s="108">
        <f t="shared" si="0"/>
        <v>39592</v>
      </c>
      <c r="N58" s="108">
        <f t="shared" si="1"/>
        <v>21152</v>
      </c>
      <c r="P58" s="118" t="s">
        <v>230</v>
      </c>
      <c r="Q58" s="71">
        <v>37567</v>
      </c>
      <c r="R58" s="120">
        <v>20812</v>
      </c>
      <c r="T58" s="120">
        <f t="shared" si="2"/>
        <v>340</v>
      </c>
    </row>
    <row r="59" spans="1:20" x14ac:dyDescent="0.2">
      <c r="A59" s="65">
        <v>50</v>
      </c>
      <c r="B59" s="107" t="s">
        <v>53</v>
      </c>
      <c r="C59" s="108">
        <v>57113</v>
      </c>
      <c r="D59" s="108">
        <v>35827</v>
      </c>
      <c r="E59" s="108">
        <v>1019</v>
      </c>
      <c r="F59" s="108">
        <v>2914.57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f t="shared" si="0"/>
        <v>58132</v>
      </c>
      <c r="N59" s="108">
        <f t="shared" si="1"/>
        <v>38741.57</v>
      </c>
      <c r="P59" s="118" t="s">
        <v>53</v>
      </c>
      <c r="Q59" s="71">
        <v>56495</v>
      </c>
      <c r="R59" s="120">
        <v>37607.449999999997</v>
      </c>
      <c r="T59" s="120">
        <f t="shared" si="2"/>
        <v>1134.1200000000026</v>
      </c>
    </row>
    <row r="60" spans="1:20" s="117" customFormat="1" x14ac:dyDescent="0.2">
      <c r="A60" s="270"/>
      <c r="B60" s="68" t="s">
        <v>415</v>
      </c>
      <c r="C60" s="115">
        <f>SUM(C57:C59)</f>
        <v>132419</v>
      </c>
      <c r="D60" s="115">
        <f t="shared" ref="D60:L60" si="5">SUM(D57:D59)</f>
        <v>76398.540000000008</v>
      </c>
      <c r="E60" s="115">
        <f t="shared" si="5"/>
        <v>8353</v>
      </c>
      <c r="F60" s="115">
        <f t="shared" si="5"/>
        <v>6924.99</v>
      </c>
      <c r="G60" s="115">
        <f t="shared" si="5"/>
        <v>0</v>
      </c>
      <c r="H60" s="115">
        <f t="shared" si="5"/>
        <v>0</v>
      </c>
      <c r="I60" s="115">
        <f t="shared" si="5"/>
        <v>2534</v>
      </c>
      <c r="J60" s="115">
        <f t="shared" si="5"/>
        <v>1494.94</v>
      </c>
      <c r="K60" s="115">
        <f t="shared" si="5"/>
        <v>0</v>
      </c>
      <c r="L60" s="115">
        <f t="shared" si="5"/>
        <v>0</v>
      </c>
      <c r="M60" s="115">
        <f t="shared" si="0"/>
        <v>143306</v>
      </c>
      <c r="N60" s="115">
        <f t="shared" si="1"/>
        <v>84818.470000000016</v>
      </c>
      <c r="P60" s="118" t="s">
        <v>231</v>
      </c>
      <c r="Q60" s="117">
        <v>207203</v>
      </c>
      <c r="R60" s="121">
        <v>83150.45</v>
      </c>
      <c r="T60" s="120">
        <f t="shared" si="2"/>
        <v>1668.0200000000186</v>
      </c>
    </row>
    <row r="61" spans="1:20" x14ac:dyDescent="0.2">
      <c r="A61" s="65">
        <v>51</v>
      </c>
      <c r="B61" s="66" t="s">
        <v>409</v>
      </c>
      <c r="C61" s="108">
        <v>0</v>
      </c>
      <c r="D61" s="108">
        <v>2553.19</v>
      </c>
      <c r="E61" s="108">
        <v>0</v>
      </c>
      <c r="F61" s="108">
        <v>9273.59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f t="shared" si="0"/>
        <v>0</v>
      </c>
      <c r="N61" s="108">
        <f t="shared" si="1"/>
        <v>11826.78</v>
      </c>
      <c r="P61" s="118" t="s">
        <v>265</v>
      </c>
      <c r="Q61" s="71">
        <v>0</v>
      </c>
      <c r="R61" s="120">
        <v>11902</v>
      </c>
      <c r="T61" s="120">
        <f t="shared" si="2"/>
        <v>-75.219999999999345</v>
      </c>
    </row>
    <row r="62" spans="1:20" s="117" customFormat="1" x14ac:dyDescent="0.2">
      <c r="A62" s="270"/>
      <c r="B62" s="68" t="s">
        <v>410</v>
      </c>
      <c r="C62" s="115">
        <f>C61</f>
        <v>0</v>
      </c>
      <c r="D62" s="115">
        <f t="shared" ref="D62:L62" si="6">D61</f>
        <v>2553.19</v>
      </c>
      <c r="E62" s="115">
        <f t="shared" si="6"/>
        <v>0</v>
      </c>
      <c r="F62" s="115">
        <f t="shared" si="6"/>
        <v>9273.59</v>
      </c>
      <c r="G62" s="115">
        <f t="shared" si="6"/>
        <v>0</v>
      </c>
      <c r="H62" s="115">
        <f t="shared" si="6"/>
        <v>0</v>
      </c>
      <c r="I62" s="115">
        <f t="shared" si="6"/>
        <v>0</v>
      </c>
      <c r="J62" s="115">
        <f t="shared" si="6"/>
        <v>0</v>
      </c>
      <c r="K62" s="115">
        <f t="shared" si="6"/>
        <v>0</v>
      </c>
      <c r="L62" s="115">
        <f t="shared" si="6"/>
        <v>0</v>
      </c>
      <c r="M62" s="115">
        <f t="shared" si="0"/>
        <v>0</v>
      </c>
      <c r="N62" s="115">
        <f t="shared" si="1"/>
        <v>11826.78</v>
      </c>
      <c r="P62" s="118"/>
      <c r="R62" s="121"/>
    </row>
    <row r="63" spans="1:20" s="117" customFormat="1" x14ac:dyDescent="0.2">
      <c r="A63" s="270"/>
      <c r="B63" s="68" t="s">
        <v>411</v>
      </c>
      <c r="C63" s="115">
        <f>C62+C60+C56+C33</f>
        <v>774329</v>
      </c>
      <c r="D63" s="115">
        <f t="shared" ref="D63:L63" si="7">D62+D60+D56+D33</f>
        <v>1559128.9</v>
      </c>
      <c r="E63" s="115">
        <f t="shared" si="7"/>
        <v>88822</v>
      </c>
      <c r="F63" s="115">
        <f t="shared" si="7"/>
        <v>1625174.19</v>
      </c>
      <c r="G63" s="115">
        <f t="shared" si="7"/>
        <v>4568</v>
      </c>
      <c r="H63" s="115">
        <f t="shared" si="7"/>
        <v>373382.93000000005</v>
      </c>
      <c r="I63" s="115">
        <f t="shared" si="7"/>
        <v>5660</v>
      </c>
      <c r="J63" s="115">
        <f t="shared" si="7"/>
        <v>17666.859999999997</v>
      </c>
      <c r="K63" s="115">
        <f t="shared" si="7"/>
        <v>10337</v>
      </c>
      <c r="L63" s="115">
        <f t="shared" si="7"/>
        <v>199388.01</v>
      </c>
      <c r="M63" s="115">
        <f t="shared" si="0"/>
        <v>883716</v>
      </c>
      <c r="N63" s="115">
        <f t="shared" si="1"/>
        <v>3774740.8899999997</v>
      </c>
      <c r="P63" s="118"/>
      <c r="R63" s="121"/>
    </row>
    <row r="64" spans="1:20" x14ac:dyDescent="0.2">
      <c r="A64" s="69"/>
    </row>
    <row r="66" spans="3:14" s="71" customFormat="1" x14ac:dyDescent="0.2">
      <c r="C66" s="120">
        <v>827565</v>
      </c>
      <c r="D66" s="120">
        <v>1525876.90020788</v>
      </c>
      <c r="E66" s="120">
        <v>95848</v>
      </c>
      <c r="F66" s="120">
        <v>1692309.9796668999</v>
      </c>
      <c r="G66" s="120">
        <v>4577</v>
      </c>
      <c r="H66" s="120">
        <v>375020.50225920003</v>
      </c>
      <c r="I66" s="120">
        <v>9262</v>
      </c>
      <c r="J66" s="120">
        <v>21708.97</v>
      </c>
      <c r="K66" s="120">
        <v>477484</v>
      </c>
      <c r="L66" s="120">
        <v>818948.96000000008</v>
      </c>
      <c r="M66" s="120">
        <v>1414736</v>
      </c>
      <c r="N66" s="120">
        <v>4433865.31213398</v>
      </c>
    </row>
    <row r="70" spans="3:14" x14ac:dyDescent="0.2">
      <c r="N70" s="120">
        <f>D63+F63</f>
        <v>3184303.09</v>
      </c>
    </row>
    <row r="71" spans="3:14" x14ac:dyDescent="0.2">
      <c r="N71" s="118">
        <f>N70*100/'CD Ratio_3(i)'!F63</f>
        <v>14.471314391790454</v>
      </c>
    </row>
  </sheetData>
  <mergeCells count="10">
    <mergeCell ref="A1:N1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conditionalFormatting sqref="B6">
    <cfRule type="duplicateValues" dxfId="172" priority="4"/>
  </conditionalFormatting>
  <conditionalFormatting sqref="B22">
    <cfRule type="duplicateValues" dxfId="171" priority="5"/>
  </conditionalFormatting>
  <conditionalFormatting sqref="B33:B34 B26:B30">
    <cfRule type="duplicateValues" dxfId="170" priority="6"/>
  </conditionalFormatting>
  <conditionalFormatting sqref="B52">
    <cfRule type="duplicateValues" dxfId="169" priority="7"/>
  </conditionalFormatting>
  <conditionalFormatting sqref="B56">
    <cfRule type="duplicateValues" dxfId="168" priority="8"/>
  </conditionalFormatting>
  <conditionalFormatting sqref="B58">
    <cfRule type="duplicateValues" dxfId="167" priority="9"/>
  </conditionalFormatting>
  <conditionalFormatting sqref="P38:P43 P1:P35 P45:P52 P55:P1048576">
    <cfRule type="cellIs" dxfId="166" priority="1" operator="greaterThan">
      <formula>100</formula>
    </cfRule>
  </conditionalFormatting>
  <pageMargins left="0.45" right="0.45" top="0.5" bottom="0.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9"/>
  <sheetViews>
    <sheetView zoomScaleNormal="100" workbookViewId="0">
      <pane xSplit="2" ySplit="5" topLeftCell="C51" activePane="bottomRight" state="frozen"/>
      <selection activeCell="I36" sqref="I36"/>
      <selection pane="topRight" activeCell="I36" sqref="I36"/>
      <selection pane="bottomLeft" activeCell="I36" sqref="I36"/>
      <selection pane="bottomRight" activeCell="P68" sqref="P68"/>
    </sheetView>
  </sheetViews>
  <sheetFormatPr defaultColWidth="4.42578125" defaultRowHeight="13.5" x14ac:dyDescent="0.2"/>
  <cols>
    <col min="1" max="1" width="4.42578125" style="71"/>
    <col min="2" max="2" width="24.42578125" style="71" bestFit="1" customWidth="1"/>
    <col min="3" max="3" width="6.5703125" style="120" customWidth="1"/>
    <col min="4" max="4" width="7.28515625" style="120" customWidth="1"/>
    <col min="5" max="5" width="7.85546875" style="120" customWidth="1"/>
    <col min="6" max="6" width="8.42578125" style="120" customWidth="1"/>
    <col min="7" max="7" width="8.28515625" style="120" customWidth="1"/>
    <col min="8" max="8" width="9.42578125" style="120" customWidth="1"/>
    <col min="9" max="9" width="6.85546875" style="120" bestFit="1" customWidth="1"/>
    <col min="10" max="10" width="8.28515625" style="120" bestFit="1" customWidth="1"/>
    <col min="11" max="11" width="7.42578125" style="120" customWidth="1"/>
    <col min="12" max="12" width="7.5703125" style="120" bestFit="1" customWidth="1"/>
    <col min="13" max="13" width="9.28515625" style="120" customWidth="1"/>
    <col min="14" max="15" width="9.5703125" style="120" customWidth="1"/>
    <col min="16" max="16" width="9.28515625" style="120" customWidth="1"/>
    <col min="17" max="17" width="10.42578125" style="118" customWidth="1"/>
    <col min="18" max="18" width="8" style="71" bestFit="1" customWidth="1"/>
    <col min="19" max="19" width="6" style="71" bestFit="1" customWidth="1"/>
    <col min="20" max="20" width="8" style="71" bestFit="1" customWidth="1"/>
    <col min="21" max="16384" width="4.42578125" style="71"/>
  </cols>
  <sheetData>
    <row r="1" spans="1:20" ht="18.75" x14ac:dyDescent="0.2">
      <c r="A1" s="426" t="s">
        <v>427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20" x14ac:dyDescent="0.2">
      <c r="B2" s="117" t="s">
        <v>135</v>
      </c>
      <c r="K2" s="120" t="s">
        <v>143</v>
      </c>
      <c r="N2" s="121" t="s">
        <v>142</v>
      </c>
    </row>
    <row r="3" spans="1:20" ht="35.1" customHeight="1" x14ac:dyDescent="0.2">
      <c r="A3" s="427" t="s">
        <v>121</v>
      </c>
      <c r="B3" s="427" t="s">
        <v>101</v>
      </c>
      <c r="C3" s="429" t="s">
        <v>425</v>
      </c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1"/>
      <c r="Q3" s="425" t="s">
        <v>153</v>
      </c>
    </row>
    <row r="4" spans="1:20" ht="24.95" customHeight="1" x14ac:dyDescent="0.2">
      <c r="A4" s="427"/>
      <c r="B4" s="427"/>
      <c r="C4" s="429" t="s">
        <v>136</v>
      </c>
      <c r="D4" s="431"/>
      <c r="E4" s="429" t="s">
        <v>137</v>
      </c>
      <c r="F4" s="431"/>
      <c r="G4" s="429" t="s">
        <v>138</v>
      </c>
      <c r="H4" s="431"/>
      <c r="I4" s="429" t="s">
        <v>139</v>
      </c>
      <c r="J4" s="431"/>
      <c r="K4" s="429" t="s">
        <v>140</v>
      </c>
      <c r="L4" s="431"/>
      <c r="M4" s="429" t="s">
        <v>132</v>
      </c>
      <c r="N4" s="431"/>
      <c r="O4" s="429" t="s">
        <v>141</v>
      </c>
      <c r="P4" s="431"/>
      <c r="Q4" s="425"/>
      <c r="R4" s="137"/>
    </row>
    <row r="5" spans="1:20" ht="15" customHeight="1" x14ac:dyDescent="0.2">
      <c r="A5" s="427"/>
      <c r="B5" s="427"/>
      <c r="C5" s="130" t="s">
        <v>267</v>
      </c>
      <c r="D5" s="130" t="s">
        <v>266</v>
      </c>
      <c r="E5" s="130" t="s">
        <v>267</v>
      </c>
      <c r="F5" s="130" t="s">
        <v>266</v>
      </c>
      <c r="G5" s="130" t="s">
        <v>267</v>
      </c>
      <c r="H5" s="130" t="s">
        <v>266</v>
      </c>
      <c r="I5" s="130" t="s">
        <v>267</v>
      </c>
      <c r="J5" s="130" t="s">
        <v>266</v>
      </c>
      <c r="K5" s="130" t="s">
        <v>267</v>
      </c>
      <c r="L5" s="130" t="s">
        <v>266</v>
      </c>
      <c r="M5" s="130" t="s">
        <v>267</v>
      </c>
      <c r="N5" s="130" t="s">
        <v>266</v>
      </c>
      <c r="O5" s="130" t="s">
        <v>267</v>
      </c>
      <c r="P5" s="130" t="s">
        <v>266</v>
      </c>
      <c r="Q5" s="425"/>
    </row>
    <row r="6" spans="1:20" ht="15" customHeight="1" x14ac:dyDescent="0.2">
      <c r="A6" s="65">
        <v>1</v>
      </c>
      <c r="B6" s="107" t="s">
        <v>56</v>
      </c>
      <c r="C6" s="108">
        <v>0</v>
      </c>
      <c r="D6" s="108">
        <v>0</v>
      </c>
      <c r="E6" s="376">
        <v>3196</v>
      </c>
      <c r="F6" s="108">
        <v>8083</v>
      </c>
      <c r="G6" s="108">
        <v>13886</v>
      </c>
      <c r="H6" s="108">
        <v>40459</v>
      </c>
      <c r="I6" s="108">
        <v>87</v>
      </c>
      <c r="J6" s="108">
        <v>19</v>
      </c>
      <c r="K6" s="108">
        <v>0</v>
      </c>
      <c r="L6" s="108">
        <v>0</v>
      </c>
      <c r="M6" s="108">
        <v>837</v>
      </c>
      <c r="N6" s="108">
        <v>240</v>
      </c>
      <c r="O6" s="108">
        <f>C6+E6+G6+I6+K6+M6+MSMEoutstanding_5!M6+OutstandingAgri_4!K6</f>
        <v>146781</v>
      </c>
      <c r="P6" s="108">
        <f>N6+L6+J6+H6+F6+D6+MSMEoutstanding_5!N6+OutstandingAgri_4!L6</f>
        <v>427323</v>
      </c>
      <c r="Q6" s="109">
        <f>P6*100/'CD Ratio_3(i)'!F6</f>
        <v>59.350663961099841</v>
      </c>
      <c r="R6" s="120"/>
      <c r="T6" s="120"/>
    </row>
    <row r="7" spans="1:20" ht="15" customHeight="1" x14ac:dyDescent="0.2">
      <c r="A7" s="65">
        <v>2</v>
      </c>
      <c r="B7" s="107" t="s">
        <v>57</v>
      </c>
      <c r="C7" s="108">
        <v>0</v>
      </c>
      <c r="D7" s="108">
        <v>0</v>
      </c>
      <c r="E7" s="108">
        <v>164</v>
      </c>
      <c r="F7" s="108">
        <v>528.52</v>
      </c>
      <c r="G7" s="108">
        <v>1049</v>
      </c>
      <c r="H7" s="108">
        <v>8479.0400000000009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>C7+E7+G7+I7+K7+M7+MSMEoutstanding_5!M7+OutstandingAgri_4!K7</f>
        <v>5357</v>
      </c>
      <c r="P7" s="108">
        <f>N7+L7+J7+H7+F7+D7+MSMEoutstanding_5!N7+OutstandingAgri_4!L7</f>
        <v>27082.29</v>
      </c>
      <c r="Q7" s="109">
        <f>P7*100/'CD Ratio_3(i)'!F7</f>
        <v>53.782797434134054</v>
      </c>
      <c r="R7" s="120"/>
      <c r="T7" s="120"/>
    </row>
    <row r="8" spans="1:20" ht="15" customHeight="1" x14ac:dyDescent="0.2">
      <c r="A8" s="65">
        <v>3</v>
      </c>
      <c r="B8" s="107" t="s">
        <v>58</v>
      </c>
      <c r="C8" s="108">
        <v>0</v>
      </c>
      <c r="D8" s="108">
        <v>0</v>
      </c>
      <c r="E8" s="108">
        <v>2386</v>
      </c>
      <c r="F8" s="108">
        <v>6300.01</v>
      </c>
      <c r="G8" s="108">
        <v>13050</v>
      </c>
      <c r="H8" s="108">
        <v>99246.05</v>
      </c>
      <c r="I8" s="108">
        <v>326</v>
      </c>
      <c r="J8" s="108">
        <v>534</v>
      </c>
      <c r="K8" s="108">
        <v>1</v>
      </c>
      <c r="L8" s="108">
        <v>1</v>
      </c>
      <c r="M8" s="108">
        <v>9386</v>
      </c>
      <c r="N8" s="108">
        <v>42947.94</v>
      </c>
      <c r="O8" s="108">
        <f>C8+E8+G8+I8+K8+M8+MSMEoutstanding_5!M8+OutstandingAgri_4!K8</f>
        <v>92766</v>
      </c>
      <c r="P8" s="108">
        <f>N8+L8+J8+H8+F8+D8+MSMEoutstanding_5!N8+OutstandingAgri_4!L8</f>
        <v>569060</v>
      </c>
      <c r="Q8" s="109">
        <f>P8*100/'CD Ratio_3(i)'!F8</f>
        <v>80.649092970521536</v>
      </c>
      <c r="R8" s="120"/>
      <c r="T8" s="120"/>
    </row>
    <row r="9" spans="1:20" ht="15" customHeight="1" x14ac:dyDescent="0.2">
      <c r="A9" s="65">
        <v>4</v>
      </c>
      <c r="B9" s="107" t="s">
        <v>59</v>
      </c>
      <c r="C9" s="108">
        <v>0</v>
      </c>
      <c r="D9" s="108">
        <v>0</v>
      </c>
      <c r="E9" s="108">
        <v>10169</v>
      </c>
      <c r="F9" s="108">
        <v>22528</v>
      </c>
      <c r="G9" s="108">
        <v>68660</v>
      </c>
      <c r="H9" s="108">
        <v>96368</v>
      </c>
      <c r="I9" s="108">
        <v>0</v>
      </c>
      <c r="J9" s="108">
        <v>0</v>
      </c>
      <c r="K9" s="108">
        <v>1</v>
      </c>
      <c r="L9" s="108">
        <v>5</v>
      </c>
      <c r="M9" s="108">
        <v>0</v>
      </c>
      <c r="N9" s="108">
        <v>0</v>
      </c>
      <c r="O9" s="108">
        <f>C9+E9+G9+I9+K9+M9+MSMEoutstanding_5!M9+OutstandingAgri_4!K9</f>
        <v>627891</v>
      </c>
      <c r="P9" s="108">
        <f>N9+L9+J9+H9+F9+D9+MSMEoutstanding_5!N9+OutstandingAgri_4!L9</f>
        <v>1409162</v>
      </c>
      <c r="Q9" s="109">
        <f>P9*100/'CD Ratio_3(i)'!F9</f>
        <v>85.339261782156157</v>
      </c>
      <c r="R9" s="120"/>
      <c r="T9" s="120"/>
    </row>
    <row r="10" spans="1:20" ht="15" customHeight="1" x14ac:dyDescent="0.2">
      <c r="A10" s="65">
        <v>5</v>
      </c>
      <c r="B10" s="107" t="s">
        <v>60</v>
      </c>
      <c r="C10" s="108">
        <v>0</v>
      </c>
      <c r="D10" s="108">
        <v>0</v>
      </c>
      <c r="E10" s="108">
        <v>1459</v>
      </c>
      <c r="F10" s="108">
        <v>4409</v>
      </c>
      <c r="G10" s="108">
        <v>17123</v>
      </c>
      <c r="H10" s="108">
        <v>31798</v>
      </c>
      <c r="I10" s="108">
        <v>14</v>
      </c>
      <c r="J10" s="108">
        <v>517</v>
      </c>
      <c r="K10" s="108">
        <v>3</v>
      </c>
      <c r="L10" s="108">
        <v>393</v>
      </c>
      <c r="M10" s="108">
        <v>3983</v>
      </c>
      <c r="N10" s="108">
        <v>22921</v>
      </c>
      <c r="O10" s="108">
        <f>C10+E10+G10+I10+K10+M10+MSMEoutstanding_5!M10+OutstandingAgri_4!K10</f>
        <v>94104</v>
      </c>
      <c r="P10" s="108">
        <f>N10+L10+J10+H10+F10+D10+MSMEoutstanding_5!N10+OutstandingAgri_4!L10</f>
        <v>249384</v>
      </c>
      <c r="Q10" s="109">
        <f>P10*100/'CD Ratio_3(i)'!F10</f>
        <v>78.96246667468796</v>
      </c>
      <c r="R10" s="120"/>
      <c r="T10" s="120"/>
    </row>
    <row r="11" spans="1:20" ht="15" customHeight="1" x14ac:dyDescent="0.2">
      <c r="A11" s="65">
        <v>6</v>
      </c>
      <c r="B11" s="110" t="s">
        <v>244</v>
      </c>
      <c r="C11" s="108">
        <v>0</v>
      </c>
      <c r="D11" s="108">
        <v>0</v>
      </c>
      <c r="E11" s="108">
        <v>13</v>
      </c>
      <c r="F11" s="108">
        <v>49.45</v>
      </c>
      <c r="G11" s="108">
        <v>19</v>
      </c>
      <c r="H11" s="108">
        <v>158.34</v>
      </c>
      <c r="I11" s="108">
        <v>0</v>
      </c>
      <c r="J11" s="108">
        <v>0</v>
      </c>
      <c r="K11" s="108">
        <v>0</v>
      </c>
      <c r="L11" s="108">
        <v>0</v>
      </c>
      <c r="M11" s="108">
        <v>163</v>
      </c>
      <c r="N11" s="108">
        <v>62.86</v>
      </c>
      <c r="O11" s="108">
        <f>C11+E11+G11+I11+K11+M11+MSMEoutstanding_5!M11+OutstandingAgri_4!K11</f>
        <v>328</v>
      </c>
      <c r="P11" s="108">
        <f>N11+L11+J11+H11+F11+D11+MSMEoutstanding_5!N11+OutstandingAgri_4!L11</f>
        <v>513.56999999999994</v>
      </c>
      <c r="Q11" s="109">
        <f>P11*100/'CD Ratio_3(i)'!F11</f>
        <v>89.628272251308886</v>
      </c>
      <c r="R11" s="120"/>
      <c r="T11" s="120"/>
    </row>
    <row r="12" spans="1:20" ht="15" customHeight="1" x14ac:dyDescent="0.2">
      <c r="A12" s="65">
        <v>7</v>
      </c>
      <c r="B12" s="107" t="s">
        <v>61</v>
      </c>
      <c r="C12" s="108">
        <v>0</v>
      </c>
      <c r="D12" s="108">
        <v>0</v>
      </c>
      <c r="E12" s="108">
        <v>2348</v>
      </c>
      <c r="F12" s="108">
        <v>6770</v>
      </c>
      <c r="G12" s="108">
        <v>7645</v>
      </c>
      <c r="H12" s="108">
        <v>61758</v>
      </c>
      <c r="I12" s="108">
        <v>0</v>
      </c>
      <c r="J12" s="108">
        <v>0</v>
      </c>
      <c r="K12" s="108">
        <v>0</v>
      </c>
      <c r="L12" s="108">
        <v>0</v>
      </c>
      <c r="M12" s="108">
        <v>2559</v>
      </c>
      <c r="N12" s="108">
        <v>699</v>
      </c>
      <c r="O12" s="108">
        <f>C12+E12+G12+I12+K12+M12+MSMEoutstanding_5!M12+OutstandingAgri_4!K12</f>
        <v>86409</v>
      </c>
      <c r="P12" s="108">
        <f>N12+L12+J12+H12+F12+D12+MSMEoutstanding_5!N12+OutstandingAgri_4!L12</f>
        <v>340081</v>
      </c>
      <c r="Q12" s="109">
        <f>P12*100/'CD Ratio_3(i)'!F12</f>
        <v>81.733147154321088</v>
      </c>
      <c r="R12" s="120"/>
      <c r="T12" s="120"/>
    </row>
    <row r="13" spans="1:20" ht="15" customHeight="1" x14ac:dyDescent="0.2">
      <c r="A13" s="65">
        <v>8</v>
      </c>
      <c r="B13" s="107" t="s">
        <v>62</v>
      </c>
      <c r="C13" s="108">
        <v>0</v>
      </c>
      <c r="D13" s="108">
        <v>0</v>
      </c>
      <c r="E13" s="108">
        <v>11007</v>
      </c>
      <c r="F13" s="108">
        <v>24923</v>
      </c>
      <c r="G13" s="108">
        <v>95715</v>
      </c>
      <c r="H13" s="108">
        <v>137301</v>
      </c>
      <c r="I13" s="108">
        <v>3</v>
      </c>
      <c r="J13" s="108">
        <v>23</v>
      </c>
      <c r="K13" s="108">
        <v>0</v>
      </c>
      <c r="L13" s="108">
        <v>0</v>
      </c>
      <c r="M13" s="108">
        <v>97</v>
      </c>
      <c r="N13" s="108">
        <v>1121</v>
      </c>
      <c r="O13" s="108">
        <f>C13+E13+G13+I13+K13+M13+MSMEoutstanding_5!M13+OutstandingAgri_4!K13</f>
        <v>479976</v>
      </c>
      <c r="P13" s="108">
        <f>N13+L13+J13+H13+F13+D13+MSMEoutstanding_5!N13+OutstandingAgri_4!L13</f>
        <v>949966</v>
      </c>
      <c r="Q13" s="109">
        <f>P13*100/'CD Ratio_3(i)'!F13</f>
        <v>76.956865000165777</v>
      </c>
      <c r="R13" s="120"/>
      <c r="T13" s="120"/>
    </row>
    <row r="14" spans="1:20" ht="15" customHeight="1" x14ac:dyDescent="0.2">
      <c r="A14" s="65">
        <v>9</v>
      </c>
      <c r="B14" s="107" t="s">
        <v>49</v>
      </c>
      <c r="C14" s="108">
        <v>0</v>
      </c>
      <c r="D14" s="108">
        <v>0</v>
      </c>
      <c r="E14" s="108">
        <v>470</v>
      </c>
      <c r="F14" s="108">
        <v>1405</v>
      </c>
      <c r="G14" s="108">
        <v>1400</v>
      </c>
      <c r="H14" s="108">
        <v>13187</v>
      </c>
      <c r="I14" s="108">
        <v>0</v>
      </c>
      <c r="J14" s="108">
        <v>0</v>
      </c>
      <c r="K14" s="108">
        <v>0</v>
      </c>
      <c r="L14" s="108">
        <v>0</v>
      </c>
      <c r="M14" s="108">
        <v>11</v>
      </c>
      <c r="N14" s="108">
        <v>1907</v>
      </c>
      <c r="O14" s="108">
        <f>C14+E14+G14+I14+K14+M14+MSMEoutstanding_5!M14+OutstandingAgri_4!K14</f>
        <v>19807</v>
      </c>
      <c r="P14" s="108">
        <f>N14+L14+J14+H14+F14+D14+MSMEoutstanding_5!N14+OutstandingAgri_4!L14</f>
        <v>98515</v>
      </c>
      <c r="Q14" s="109">
        <f>P14*100/'CD Ratio_3(i)'!F14</f>
        <v>30.920344371941784</v>
      </c>
      <c r="R14" s="120"/>
      <c r="T14" s="120"/>
    </row>
    <row r="15" spans="1:20" ht="15" customHeight="1" x14ac:dyDescent="0.2">
      <c r="A15" s="65">
        <v>10</v>
      </c>
      <c r="B15" s="107" t="s">
        <v>50</v>
      </c>
      <c r="C15" s="108">
        <v>0</v>
      </c>
      <c r="D15" s="108">
        <v>0</v>
      </c>
      <c r="E15" s="108">
        <v>794</v>
      </c>
      <c r="F15" s="108">
        <v>1912</v>
      </c>
      <c r="G15" s="108">
        <v>2474</v>
      </c>
      <c r="H15" s="108">
        <v>14033</v>
      </c>
      <c r="I15" s="108">
        <v>21</v>
      </c>
      <c r="J15" s="108">
        <v>34</v>
      </c>
      <c r="K15" s="108">
        <v>4</v>
      </c>
      <c r="L15" s="108">
        <v>277</v>
      </c>
      <c r="M15" s="108">
        <v>679</v>
      </c>
      <c r="N15" s="108">
        <v>34</v>
      </c>
      <c r="O15" s="108">
        <f>C15+E15+G15+I15+K15+M15+MSMEoutstanding_5!M15+OutstandingAgri_4!K15</f>
        <v>24691</v>
      </c>
      <c r="P15" s="108">
        <f>N15+L15+J15+H15+F15+D15+MSMEoutstanding_5!N15+OutstandingAgri_4!L15</f>
        <v>70477</v>
      </c>
      <c r="Q15" s="109">
        <f>P15*100/'CD Ratio_3(i)'!F15</f>
        <v>36.378389552846272</v>
      </c>
      <c r="R15" s="120"/>
      <c r="T15" s="120"/>
    </row>
    <row r="16" spans="1:20" ht="15" customHeight="1" x14ac:dyDescent="0.2">
      <c r="A16" s="65">
        <v>11</v>
      </c>
      <c r="B16" s="107" t="s">
        <v>82</v>
      </c>
      <c r="C16" s="108">
        <v>0</v>
      </c>
      <c r="D16" s="108">
        <v>0</v>
      </c>
      <c r="E16" s="108">
        <v>542</v>
      </c>
      <c r="F16" s="108">
        <v>1673</v>
      </c>
      <c r="G16" s="108">
        <v>5065</v>
      </c>
      <c r="H16" s="108">
        <v>37362</v>
      </c>
      <c r="I16" s="108">
        <v>8</v>
      </c>
      <c r="J16" s="108">
        <v>46</v>
      </c>
      <c r="K16" s="108">
        <v>0</v>
      </c>
      <c r="L16" s="108">
        <v>0</v>
      </c>
      <c r="M16" s="108">
        <v>28</v>
      </c>
      <c r="N16" s="108">
        <v>8</v>
      </c>
      <c r="O16" s="108">
        <f>C16+E16+G16+I16+K16+M16+MSMEoutstanding_5!M16+OutstandingAgri_4!K16</f>
        <v>58163</v>
      </c>
      <c r="P16" s="108">
        <f>N16+L16+J16+H16+F16+D16+MSMEoutstanding_5!N16+OutstandingAgri_4!L16</f>
        <v>172529</v>
      </c>
      <c r="Q16" s="109">
        <f>P16*100/'CD Ratio_3(i)'!F16</f>
        <v>46.175566124339937</v>
      </c>
      <c r="R16" s="120"/>
      <c r="T16" s="120"/>
    </row>
    <row r="17" spans="1:20" ht="15" customHeight="1" x14ac:dyDescent="0.2">
      <c r="A17" s="65">
        <v>12</v>
      </c>
      <c r="B17" s="107" t="s">
        <v>63</v>
      </c>
      <c r="C17" s="108">
        <v>0</v>
      </c>
      <c r="D17" s="108">
        <v>0</v>
      </c>
      <c r="E17" s="108">
        <v>123</v>
      </c>
      <c r="F17" s="108">
        <v>384.98</v>
      </c>
      <c r="G17" s="108">
        <v>486</v>
      </c>
      <c r="H17" s="108">
        <v>2948.9</v>
      </c>
      <c r="I17" s="108">
        <v>3</v>
      </c>
      <c r="J17" s="108">
        <v>59.06</v>
      </c>
      <c r="K17" s="108">
        <v>0</v>
      </c>
      <c r="L17" s="108">
        <v>0</v>
      </c>
      <c r="M17" s="108">
        <v>0</v>
      </c>
      <c r="N17" s="108">
        <v>0</v>
      </c>
      <c r="O17" s="108">
        <f>C17+E17+G17+I17+K17+M17+MSMEoutstanding_5!M17+OutstandingAgri_4!K17</f>
        <v>7428</v>
      </c>
      <c r="P17" s="108">
        <f>N17+L17+J17+H17+F17+D17+MSMEoutstanding_5!N17+OutstandingAgri_4!L17</f>
        <v>19802.940000000002</v>
      </c>
      <c r="Q17" s="109">
        <f>P17*100/'CD Ratio_3(i)'!F17</f>
        <v>59.630023535306577</v>
      </c>
      <c r="R17" s="120"/>
      <c r="T17" s="120"/>
    </row>
    <row r="18" spans="1:20" ht="15" customHeight="1" x14ac:dyDescent="0.2">
      <c r="A18" s="65">
        <v>13</v>
      </c>
      <c r="B18" s="107" t="s">
        <v>64</v>
      </c>
      <c r="C18" s="108">
        <v>0</v>
      </c>
      <c r="D18" s="108">
        <v>0</v>
      </c>
      <c r="E18" s="108">
        <v>319</v>
      </c>
      <c r="F18" s="108">
        <v>896</v>
      </c>
      <c r="G18" s="108">
        <v>3049</v>
      </c>
      <c r="H18" s="108">
        <v>8163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>C18+E18+G18+I18+K18+M18+MSMEoutstanding_5!M18+OutstandingAgri_4!K18</f>
        <v>10323</v>
      </c>
      <c r="P18" s="108">
        <f>N18+L18+J18+H18+F18+D18+MSMEoutstanding_5!N18+OutstandingAgri_4!L18</f>
        <v>65361</v>
      </c>
      <c r="Q18" s="109">
        <f>P18*100/'CD Ratio_3(i)'!F18</f>
        <v>67.060996255065916</v>
      </c>
      <c r="R18" s="120"/>
      <c r="T18" s="120"/>
    </row>
    <row r="19" spans="1:20" ht="15" customHeight="1" x14ac:dyDescent="0.2">
      <c r="A19" s="65">
        <v>14</v>
      </c>
      <c r="B19" s="111" t="s">
        <v>208</v>
      </c>
      <c r="C19" s="108">
        <v>1</v>
      </c>
      <c r="D19" s="108">
        <v>50</v>
      </c>
      <c r="E19" s="108">
        <v>1765</v>
      </c>
      <c r="F19" s="108">
        <v>3934.85</v>
      </c>
      <c r="G19" s="108">
        <v>6771</v>
      </c>
      <c r="H19" s="108">
        <v>22036.81</v>
      </c>
      <c r="I19" s="108">
        <v>8</v>
      </c>
      <c r="J19" s="108">
        <v>40.85</v>
      </c>
      <c r="K19" s="108">
        <v>6</v>
      </c>
      <c r="L19" s="108">
        <v>9.44</v>
      </c>
      <c r="M19" s="108">
        <v>201</v>
      </c>
      <c r="N19" s="108">
        <v>72.34</v>
      </c>
      <c r="O19" s="108">
        <f>C19+E19+G19+I19+K19+M19+MSMEoutstanding_5!M19+OutstandingAgri_4!K19</f>
        <v>28368</v>
      </c>
      <c r="P19" s="108">
        <f>N19+L19+J19+H19+F19+D19+MSMEoutstanding_5!N19+OutstandingAgri_4!L19</f>
        <v>118826.93999999999</v>
      </c>
      <c r="Q19" s="109">
        <f>P19*100/'CD Ratio_3(i)'!F19</f>
        <v>57.187173341803579</v>
      </c>
      <c r="R19" s="120"/>
      <c r="T19" s="120"/>
    </row>
    <row r="20" spans="1:20" ht="15" customHeight="1" x14ac:dyDescent="0.2">
      <c r="A20" s="65">
        <v>15</v>
      </c>
      <c r="B20" s="107" t="s">
        <v>209</v>
      </c>
      <c r="C20" s="108">
        <v>0</v>
      </c>
      <c r="D20" s="108">
        <v>0</v>
      </c>
      <c r="E20" s="108">
        <v>208</v>
      </c>
      <c r="F20" s="108">
        <v>633</v>
      </c>
      <c r="G20" s="108">
        <v>1303</v>
      </c>
      <c r="H20" s="108">
        <v>9573</v>
      </c>
      <c r="I20" s="108">
        <v>10</v>
      </c>
      <c r="J20" s="108">
        <v>439.08</v>
      </c>
      <c r="K20" s="108">
        <v>0</v>
      </c>
      <c r="L20" s="108">
        <v>0</v>
      </c>
      <c r="M20" s="108">
        <v>579</v>
      </c>
      <c r="N20" s="108">
        <v>456</v>
      </c>
      <c r="O20" s="108">
        <f>C20+E20+G20+I20+K20+M20+MSMEoutstanding_5!M20+OutstandingAgri_4!K20</f>
        <v>13445</v>
      </c>
      <c r="P20" s="108">
        <f>N20+L20+J20+H20+F20+D20+MSMEoutstanding_5!N20+OutstandingAgri_4!L20</f>
        <v>56168.200000000004</v>
      </c>
      <c r="Q20" s="109">
        <f>P20*100/'CD Ratio_3(i)'!F20</f>
        <v>86.006400538992764</v>
      </c>
      <c r="R20" s="120"/>
      <c r="S20" s="120"/>
      <c r="T20" s="120"/>
    </row>
    <row r="21" spans="1:20" ht="15" customHeight="1" x14ac:dyDescent="0.2">
      <c r="A21" s="65">
        <v>16</v>
      </c>
      <c r="B21" s="107" t="s">
        <v>65</v>
      </c>
      <c r="C21" s="108">
        <v>0</v>
      </c>
      <c r="D21" s="108">
        <v>0</v>
      </c>
      <c r="E21" s="108">
        <v>7548</v>
      </c>
      <c r="F21" s="108">
        <v>17193</v>
      </c>
      <c r="G21" s="108">
        <v>41337</v>
      </c>
      <c r="H21" s="108">
        <v>97847</v>
      </c>
      <c r="I21" s="108">
        <v>3</v>
      </c>
      <c r="J21" s="108">
        <v>96</v>
      </c>
      <c r="K21" s="108">
        <v>0</v>
      </c>
      <c r="L21" s="108">
        <v>0</v>
      </c>
      <c r="M21" s="108">
        <v>2164</v>
      </c>
      <c r="N21" s="108">
        <v>394</v>
      </c>
      <c r="O21" s="108">
        <f>C21+E21+G21+I21+K21+M21+MSMEoutstanding_5!M21+OutstandingAgri_4!K21</f>
        <v>282871</v>
      </c>
      <c r="P21" s="108">
        <f>N21+L21+J21+H21+F21+D21+MSMEoutstanding_5!N21+OutstandingAgri_4!L21</f>
        <v>749330</v>
      </c>
      <c r="Q21" s="109">
        <f>P21*100/'CD Ratio_3(i)'!F21</f>
        <v>56.190155530943095</v>
      </c>
      <c r="R21" s="120"/>
      <c r="T21" s="120"/>
    </row>
    <row r="22" spans="1:20" ht="15" customHeight="1" x14ac:dyDescent="0.2">
      <c r="A22" s="65">
        <v>17</v>
      </c>
      <c r="B22" s="112" t="s">
        <v>70</v>
      </c>
      <c r="C22" s="108">
        <v>0</v>
      </c>
      <c r="D22" s="108">
        <v>0</v>
      </c>
      <c r="E22" s="108">
        <v>22</v>
      </c>
      <c r="F22" s="108">
        <v>54.77</v>
      </c>
      <c r="G22" s="108">
        <v>408</v>
      </c>
      <c r="H22" s="108">
        <v>4330.83</v>
      </c>
      <c r="I22" s="108">
        <v>0</v>
      </c>
      <c r="J22" s="108">
        <v>0</v>
      </c>
      <c r="K22" s="108">
        <v>0</v>
      </c>
      <c r="L22" s="108">
        <v>0</v>
      </c>
      <c r="M22" s="108">
        <v>411</v>
      </c>
      <c r="N22" s="108">
        <v>4781.38</v>
      </c>
      <c r="O22" s="108">
        <f>C22+E22+G22+I22+K22+M22+MSMEoutstanding_5!M22+OutstandingAgri_4!K22</f>
        <v>1363</v>
      </c>
      <c r="P22" s="108">
        <f>N22+L22+J22+H22+F22+D22+MSMEoutstanding_5!N22+OutstandingAgri_4!L22</f>
        <v>16161.68</v>
      </c>
      <c r="Q22" s="109">
        <f>P22*100/'CD Ratio_3(i)'!F22</f>
        <v>47.288176258887553</v>
      </c>
      <c r="R22" s="120"/>
      <c r="S22" s="120"/>
      <c r="T22" s="120"/>
    </row>
    <row r="23" spans="1:20" ht="15" customHeight="1" x14ac:dyDescent="0.2">
      <c r="A23" s="65">
        <v>18</v>
      </c>
      <c r="B23" s="107" t="s">
        <v>210</v>
      </c>
      <c r="C23" s="108">
        <v>0</v>
      </c>
      <c r="D23" s="108">
        <v>0</v>
      </c>
      <c r="E23" s="108">
        <v>3</v>
      </c>
      <c r="F23" s="108">
        <v>12.34</v>
      </c>
      <c r="G23" s="108">
        <v>83</v>
      </c>
      <c r="H23" s="108">
        <v>779.52</v>
      </c>
      <c r="I23" s="108">
        <v>0</v>
      </c>
      <c r="J23" s="108">
        <v>0</v>
      </c>
      <c r="K23" s="108">
        <v>0</v>
      </c>
      <c r="L23" s="108">
        <v>0</v>
      </c>
      <c r="M23" s="108">
        <v>69</v>
      </c>
      <c r="N23" s="108">
        <v>1067.26</v>
      </c>
      <c r="O23" s="108">
        <f>C23+E23+G23+I23+K23+M23+MSMEoutstanding_5!M23+OutstandingAgri_4!K23</f>
        <v>233</v>
      </c>
      <c r="P23" s="108">
        <f>N23+L23+J23+H23+F23+D23+MSMEoutstanding_5!N23+OutstandingAgri_4!L23</f>
        <v>2847.04</v>
      </c>
      <c r="Q23" s="109">
        <f>P23*100/'CD Ratio_3(i)'!F23</f>
        <v>7.1902212344681278</v>
      </c>
      <c r="R23" s="120"/>
      <c r="S23" s="120"/>
      <c r="T23" s="120"/>
    </row>
    <row r="24" spans="1:20" ht="15" customHeight="1" x14ac:dyDescent="0.2">
      <c r="A24" s="65">
        <v>19</v>
      </c>
      <c r="B24" s="113" t="s">
        <v>211</v>
      </c>
      <c r="C24" s="108">
        <v>0</v>
      </c>
      <c r="D24" s="108">
        <v>0</v>
      </c>
      <c r="E24" s="108">
        <v>0</v>
      </c>
      <c r="F24" s="108">
        <v>0</v>
      </c>
      <c r="G24" s="108">
        <v>111</v>
      </c>
      <c r="H24" s="108">
        <v>6987</v>
      </c>
      <c r="I24" s="108">
        <v>16</v>
      </c>
      <c r="J24" s="108">
        <v>20</v>
      </c>
      <c r="K24" s="108">
        <v>0</v>
      </c>
      <c r="L24" s="108">
        <v>0</v>
      </c>
      <c r="M24" s="108">
        <v>963</v>
      </c>
      <c r="N24" s="108">
        <v>1063</v>
      </c>
      <c r="O24" s="108">
        <f>C24+E24+G24+I24+K24+M24+MSMEoutstanding_5!M24+OutstandingAgri_4!K24</f>
        <v>1278</v>
      </c>
      <c r="P24" s="108">
        <f>N24+L24+J24+H24+F24+D24+MSMEoutstanding_5!N24+OutstandingAgri_4!L24</f>
        <v>10514.43</v>
      </c>
      <c r="Q24" s="109">
        <f>P24*100/'CD Ratio_3(i)'!F24</f>
        <v>9.8672378682232385</v>
      </c>
      <c r="R24" s="120"/>
      <c r="S24" s="120"/>
      <c r="T24" s="120"/>
    </row>
    <row r="25" spans="1:20" ht="15" customHeight="1" x14ac:dyDescent="0.2">
      <c r="A25" s="65">
        <v>20</v>
      </c>
      <c r="B25" s="107" t="s">
        <v>212</v>
      </c>
      <c r="C25" s="108">
        <v>0</v>
      </c>
      <c r="D25" s="108">
        <v>0</v>
      </c>
      <c r="E25" s="108">
        <v>33</v>
      </c>
      <c r="F25" s="108">
        <v>165</v>
      </c>
      <c r="G25" s="108">
        <v>1507</v>
      </c>
      <c r="H25" s="108">
        <v>5598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>C25+E25+G25+I25+K25+M25+MSMEoutstanding_5!M25+OutstandingAgri_4!K25</f>
        <v>1993</v>
      </c>
      <c r="P25" s="108">
        <f>N25+L25+J25+H25+F25+D25+MSMEoutstanding_5!N25+OutstandingAgri_4!L25</f>
        <v>44310</v>
      </c>
      <c r="Q25" s="109">
        <f>P25*100/'CD Ratio_3(i)'!F25</f>
        <v>95.985962784047828</v>
      </c>
      <c r="R25" s="120"/>
      <c r="S25" s="120"/>
      <c r="T25" s="120"/>
    </row>
    <row r="26" spans="1:20" ht="15" customHeight="1" x14ac:dyDescent="0.2">
      <c r="A26" s="65">
        <v>21</v>
      </c>
      <c r="B26" s="107" t="s">
        <v>213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C26+E26+G26+I26+K26+M26+MSMEoutstanding_5!M26+OutstandingAgri_4!K26</f>
        <v>0</v>
      </c>
      <c r="P26" s="108">
        <f>N26+L26+J26+H26+F26+D26+MSMEoutstanding_5!N26+OutstandingAgri_4!L26</f>
        <v>0</v>
      </c>
      <c r="Q26" s="109">
        <f>P26*100/'CD Ratio_3(i)'!F26</f>
        <v>0</v>
      </c>
      <c r="R26" s="120"/>
      <c r="S26" s="120"/>
      <c r="T26" s="120"/>
    </row>
    <row r="27" spans="1:20" ht="15" customHeight="1" x14ac:dyDescent="0.2">
      <c r="A27" s="65">
        <v>22</v>
      </c>
      <c r="B27" s="107" t="s">
        <v>71</v>
      </c>
      <c r="C27" s="108">
        <v>21</v>
      </c>
      <c r="D27" s="108">
        <v>10329</v>
      </c>
      <c r="E27" s="108">
        <v>25517</v>
      </c>
      <c r="F27" s="108">
        <v>56631</v>
      </c>
      <c r="G27" s="108">
        <v>218479</v>
      </c>
      <c r="H27" s="108">
        <v>680810</v>
      </c>
      <c r="I27" s="108">
        <v>293</v>
      </c>
      <c r="J27" s="108">
        <v>7228</v>
      </c>
      <c r="K27" s="108">
        <v>39</v>
      </c>
      <c r="L27" s="108">
        <v>63720</v>
      </c>
      <c r="M27" s="108">
        <v>0</v>
      </c>
      <c r="N27" s="108">
        <v>0</v>
      </c>
      <c r="O27" s="108">
        <f>C27+E27+G27+I27+K27+M27+MSMEoutstanding_5!M27+OutstandingAgri_4!K27</f>
        <v>1043848</v>
      </c>
      <c r="P27" s="108">
        <f>N27+L27+J27+H27+F27+D27+MSMEoutstanding_5!N27+OutstandingAgri_4!L27</f>
        <v>2557455</v>
      </c>
      <c r="Q27" s="109">
        <f>P27*100/'CD Ratio_3(i)'!F27</f>
        <v>43.882628247629007</v>
      </c>
      <c r="R27" s="120"/>
      <c r="T27" s="120"/>
    </row>
    <row r="28" spans="1:20" ht="15" customHeight="1" x14ac:dyDescent="0.2">
      <c r="A28" s="65">
        <v>23</v>
      </c>
      <c r="B28" s="107" t="s">
        <v>66</v>
      </c>
      <c r="C28" s="108">
        <v>1</v>
      </c>
      <c r="D28" s="108">
        <v>1</v>
      </c>
      <c r="E28" s="108">
        <v>7197</v>
      </c>
      <c r="F28" s="108">
        <v>17953</v>
      </c>
      <c r="G28" s="108">
        <v>7079</v>
      </c>
      <c r="H28" s="108">
        <v>15194</v>
      </c>
      <c r="I28" s="108">
        <v>0</v>
      </c>
      <c r="J28" s="108">
        <v>0</v>
      </c>
      <c r="K28" s="108">
        <v>0</v>
      </c>
      <c r="L28" s="108">
        <v>0</v>
      </c>
      <c r="M28" s="108">
        <v>7245</v>
      </c>
      <c r="N28" s="108">
        <v>30320</v>
      </c>
      <c r="O28" s="108">
        <f>C28+E28+G28+I28+K28+M28+MSMEoutstanding_5!M28+OutstandingAgri_4!K28</f>
        <v>42611</v>
      </c>
      <c r="P28" s="108">
        <f>N28+L28+J28+H28+F28+D28+MSMEoutstanding_5!N28+OutstandingAgri_4!L28</f>
        <v>111394</v>
      </c>
      <c r="Q28" s="109">
        <f>P28*100/'CD Ratio_3(i)'!F28</f>
        <v>75.41935828074682</v>
      </c>
    </row>
    <row r="29" spans="1:20" ht="15" customHeight="1" x14ac:dyDescent="0.2">
      <c r="A29" s="65">
        <v>24</v>
      </c>
      <c r="B29" s="107" t="s">
        <v>214</v>
      </c>
      <c r="C29" s="108">
        <v>0</v>
      </c>
      <c r="D29" s="108">
        <v>0</v>
      </c>
      <c r="E29" s="108">
        <v>2259</v>
      </c>
      <c r="F29" s="108">
        <v>5885</v>
      </c>
      <c r="G29" s="108">
        <v>4711</v>
      </c>
      <c r="H29" s="108">
        <v>970</v>
      </c>
      <c r="I29" s="108">
        <v>0</v>
      </c>
      <c r="J29" s="108">
        <v>0</v>
      </c>
      <c r="K29" s="108">
        <v>0</v>
      </c>
      <c r="L29" s="108">
        <v>0</v>
      </c>
      <c r="M29" s="108">
        <v>16649</v>
      </c>
      <c r="N29" s="108">
        <v>45004</v>
      </c>
      <c r="O29" s="108">
        <f>C29+E29+G29+I29+K29+M29+MSMEoutstanding_5!M29+OutstandingAgri_4!K29</f>
        <v>137140</v>
      </c>
      <c r="P29" s="108">
        <f>N29+L29+J29+H29+F29+D29+MSMEoutstanding_5!N29+OutstandingAgri_4!L29</f>
        <v>365450</v>
      </c>
      <c r="Q29" s="109">
        <f>P29*100/'CD Ratio_3(i)'!F29</f>
        <v>82.655196581628047</v>
      </c>
    </row>
    <row r="30" spans="1:20" ht="15" customHeight="1" x14ac:dyDescent="0.2">
      <c r="A30" s="65">
        <v>25</v>
      </c>
      <c r="B30" s="107" t="s">
        <v>67</v>
      </c>
      <c r="C30" s="108">
        <v>0</v>
      </c>
      <c r="D30" s="108">
        <v>0</v>
      </c>
      <c r="E30" s="108">
        <v>3546</v>
      </c>
      <c r="F30" s="108">
        <v>8227.93</v>
      </c>
      <c r="G30" s="108">
        <v>32644</v>
      </c>
      <c r="H30" s="108">
        <v>73766.09</v>
      </c>
      <c r="I30" s="108">
        <v>333</v>
      </c>
      <c r="J30" s="108">
        <v>4846.54</v>
      </c>
      <c r="K30" s="108">
        <v>2</v>
      </c>
      <c r="L30" s="108">
        <v>979.94</v>
      </c>
      <c r="M30" s="108">
        <v>8808</v>
      </c>
      <c r="N30" s="108">
        <v>4977.43</v>
      </c>
      <c r="O30" s="108">
        <f>C30+E30+G30+I30+K30+M30+MSMEoutstanding_5!M30+OutstandingAgri_4!K30</f>
        <v>208443</v>
      </c>
      <c r="P30" s="108">
        <f>N30+L30+J30+H30+F30+D30+MSMEoutstanding_5!N30+OutstandingAgri_4!L30</f>
        <v>569588.13</v>
      </c>
      <c r="Q30" s="109">
        <f>P30*100/'CD Ratio_3(i)'!F30</f>
        <v>67.568588113303591</v>
      </c>
    </row>
    <row r="31" spans="1:20" ht="15" customHeight="1" x14ac:dyDescent="0.2">
      <c r="A31" s="65">
        <v>26</v>
      </c>
      <c r="B31" s="110" t="s">
        <v>68</v>
      </c>
      <c r="C31" s="108">
        <v>0</v>
      </c>
      <c r="D31" s="108">
        <v>0</v>
      </c>
      <c r="E31" s="108">
        <v>106</v>
      </c>
      <c r="F31" s="108">
        <v>307</v>
      </c>
      <c r="G31" s="108">
        <v>456</v>
      </c>
      <c r="H31" s="108">
        <v>4460</v>
      </c>
      <c r="I31" s="108">
        <v>0</v>
      </c>
      <c r="J31" s="108">
        <v>0</v>
      </c>
      <c r="K31" s="108">
        <v>0</v>
      </c>
      <c r="L31" s="108">
        <v>0</v>
      </c>
      <c r="M31" s="108">
        <v>17</v>
      </c>
      <c r="N31" s="108">
        <v>21.7</v>
      </c>
      <c r="O31" s="108">
        <f>C31+E31+G31+I31+K31+M31+MSMEoutstanding_5!M31+OutstandingAgri_4!K31</f>
        <v>1986</v>
      </c>
      <c r="P31" s="108">
        <f>N31+L31+J31+H31+F31+D31+MSMEoutstanding_5!N31+OutstandingAgri_4!L31</f>
        <v>12183</v>
      </c>
      <c r="Q31" s="109">
        <f>P31*100/'CD Ratio_3(i)'!F31</f>
        <v>46.958834412580941</v>
      </c>
    </row>
    <row r="32" spans="1:20" ht="15" customHeight="1" x14ac:dyDescent="0.2">
      <c r="A32" s="65">
        <v>27</v>
      </c>
      <c r="B32" s="107" t="s">
        <v>51</v>
      </c>
      <c r="C32" s="108">
        <v>0</v>
      </c>
      <c r="D32" s="108">
        <v>0</v>
      </c>
      <c r="E32" s="108">
        <v>466</v>
      </c>
      <c r="F32" s="108">
        <v>1064.97</v>
      </c>
      <c r="G32" s="108">
        <v>1777</v>
      </c>
      <c r="H32" s="108">
        <v>13066.52</v>
      </c>
      <c r="I32" s="108">
        <v>0</v>
      </c>
      <c r="J32" s="108">
        <v>0</v>
      </c>
      <c r="K32" s="108">
        <v>0</v>
      </c>
      <c r="L32" s="108">
        <v>0</v>
      </c>
      <c r="M32" s="108">
        <v>8726</v>
      </c>
      <c r="N32" s="108">
        <f>16317.1-15651</f>
        <v>666.10000000000036</v>
      </c>
      <c r="O32" s="108">
        <f>C32+E32+G32+I32+K32+M32+MSMEoutstanding_5!M32+OutstandingAgri_4!K32</f>
        <v>26949</v>
      </c>
      <c r="P32" s="108">
        <f>N32+L32+J32+H32+F32+D32+MSMEoutstanding_5!N32+OutstandingAgri_4!L32</f>
        <v>61937.59</v>
      </c>
      <c r="Q32" s="109">
        <f>P32*100/'CD Ratio_3(i)'!F32</f>
        <v>79.634840634120621</v>
      </c>
    </row>
    <row r="33" spans="1:17" s="117" customFormat="1" ht="15" customHeight="1" x14ac:dyDescent="0.2">
      <c r="A33" s="270"/>
      <c r="B33" s="114" t="s">
        <v>414</v>
      </c>
      <c r="C33" s="115">
        <f>SUM(C6:C32)</f>
        <v>23</v>
      </c>
      <c r="D33" s="115">
        <f t="shared" ref="D33:N33" si="0">SUM(D6:D32)</f>
        <v>10380</v>
      </c>
      <c r="E33" s="115">
        <f t="shared" si="0"/>
        <v>81660</v>
      </c>
      <c r="F33" s="115">
        <f t="shared" si="0"/>
        <v>191923.81999999998</v>
      </c>
      <c r="G33" s="115">
        <f t="shared" si="0"/>
        <v>546287</v>
      </c>
      <c r="H33" s="115">
        <f t="shared" si="0"/>
        <v>1486680.1</v>
      </c>
      <c r="I33" s="115">
        <f t="shared" si="0"/>
        <v>1125</v>
      </c>
      <c r="J33" s="115">
        <f t="shared" si="0"/>
        <v>13902.529999999999</v>
      </c>
      <c r="K33" s="115">
        <f t="shared" si="0"/>
        <v>56</v>
      </c>
      <c r="L33" s="115">
        <f t="shared" si="0"/>
        <v>65385.380000000005</v>
      </c>
      <c r="M33" s="115">
        <f t="shared" si="0"/>
        <v>63575</v>
      </c>
      <c r="N33" s="115">
        <f t="shared" si="0"/>
        <v>158764.01</v>
      </c>
      <c r="O33" s="115">
        <f>C33+E33+G33+I33+K33+M33+MSMEoutstanding_5!M33+OutstandingAgri_4!K33</f>
        <v>3444552</v>
      </c>
      <c r="P33" s="115">
        <f>N33+L33+J33+H33+F33+D33+MSMEoutstanding_5!N33+OutstandingAgri_4!L33</f>
        <v>9075422.8099999987</v>
      </c>
      <c r="Q33" s="106">
        <f>P33*100/'CD Ratio_3(i)'!F33</f>
        <v>58.977371036699694</v>
      </c>
    </row>
    <row r="34" spans="1:17" ht="15" customHeight="1" x14ac:dyDescent="0.2">
      <c r="A34" s="65">
        <v>28</v>
      </c>
      <c r="B34" s="107" t="s">
        <v>48</v>
      </c>
      <c r="C34" s="108">
        <v>0</v>
      </c>
      <c r="D34" s="108">
        <v>0</v>
      </c>
      <c r="E34" s="108">
        <v>229</v>
      </c>
      <c r="F34" s="108">
        <v>981.53</v>
      </c>
      <c r="G34" s="108">
        <v>6458</v>
      </c>
      <c r="H34" s="108">
        <v>65836.63</v>
      </c>
      <c r="I34" s="108">
        <v>0</v>
      </c>
      <c r="J34" s="108">
        <v>0</v>
      </c>
      <c r="K34" s="108">
        <v>0</v>
      </c>
      <c r="L34" s="108">
        <v>0</v>
      </c>
      <c r="M34" s="108">
        <v>58615</v>
      </c>
      <c r="N34" s="108">
        <v>7673.84</v>
      </c>
      <c r="O34" s="108">
        <f>C34+E34+G34+I34+K34+M34+MSMEoutstanding_5!M34+OutstandingAgri_4!K34</f>
        <v>164316</v>
      </c>
      <c r="P34" s="108">
        <f>N34+L34+J34+H34+F34+D34+MSMEoutstanding_5!N34+OutstandingAgri_4!L34</f>
        <v>291162.76</v>
      </c>
      <c r="Q34" s="109">
        <f>P34*100/'CD Ratio_3(i)'!F34</f>
        <v>49.16191597751682</v>
      </c>
    </row>
    <row r="35" spans="1:17" ht="15" customHeight="1" x14ac:dyDescent="0.2">
      <c r="A35" s="65">
        <v>29</v>
      </c>
      <c r="B35" s="107" t="s">
        <v>216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f>C35+E35+G35+I35+K35+M35+MSMEoutstanding_5!M35+OutstandingAgri_4!K35</f>
        <v>101392</v>
      </c>
      <c r="P35" s="108">
        <f>N35+L35+J35+H35+F35+D35+MSMEoutstanding_5!N35+OutstandingAgri_4!L35</f>
        <v>44014</v>
      </c>
      <c r="Q35" s="109">
        <f>P35*100/'CD Ratio_3(i)'!F35</f>
        <v>87.412615189068958</v>
      </c>
    </row>
    <row r="36" spans="1:17" ht="15" customHeight="1" x14ac:dyDescent="0.2">
      <c r="A36" s="65">
        <v>30</v>
      </c>
      <c r="B36" s="66" t="s">
        <v>217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f>C36+E36+G36+I36+K36+M36+MSMEoutstanding_5!M36+OutstandingAgri_4!K36</f>
        <v>0</v>
      </c>
      <c r="P36" s="108">
        <f>N36+L36+J36+H36+F36+D36+MSMEoutstanding_5!N36+OutstandingAgri_4!L36</f>
        <v>0</v>
      </c>
      <c r="Q36" s="109">
        <f>P36*100/'CD Ratio_3(i)'!F36</f>
        <v>0</v>
      </c>
    </row>
    <row r="37" spans="1:17" ht="15" customHeight="1" x14ac:dyDescent="0.2">
      <c r="A37" s="65">
        <v>31</v>
      </c>
      <c r="B37" s="66" t="s">
        <v>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f>C37+E37+G37+I37+K37+M37+MSMEoutstanding_5!M37+OutstandingAgri_4!K37</f>
        <v>0</v>
      </c>
      <c r="P37" s="108">
        <f>N37+L37+J37+H37+F37+D37+MSMEoutstanding_5!N37+OutstandingAgri_4!L37</f>
        <v>0</v>
      </c>
      <c r="Q37" s="109">
        <f>P37*100/'CD Ratio_3(i)'!F37</f>
        <v>0</v>
      </c>
    </row>
    <row r="38" spans="1:17" ht="15" customHeight="1" x14ac:dyDescent="0.2">
      <c r="A38" s="65">
        <v>32</v>
      </c>
      <c r="B38" s="107" t="s">
        <v>52</v>
      </c>
      <c r="C38" s="108">
        <v>0</v>
      </c>
      <c r="D38" s="108">
        <v>0</v>
      </c>
      <c r="E38" s="108">
        <v>2</v>
      </c>
      <c r="F38" s="108">
        <v>9.4499999999999993</v>
      </c>
      <c r="G38" s="108">
        <v>38</v>
      </c>
      <c r="H38" s="108">
        <v>321.85000000000002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f>C38+E38+G38+I38+K38+M38+MSMEoutstanding_5!M38+OutstandingAgri_4!K38</f>
        <v>149</v>
      </c>
      <c r="P38" s="108">
        <f>N38+L38+J38+H38+F38+D38+MSMEoutstanding_5!N38+OutstandingAgri_4!L38</f>
        <v>4601.0199999999995</v>
      </c>
      <c r="Q38" s="109">
        <f>P38*100/'CD Ratio_3(i)'!F38</f>
        <v>53.273325359544174</v>
      </c>
    </row>
    <row r="39" spans="1:17" ht="15" customHeight="1" x14ac:dyDescent="0.2">
      <c r="A39" s="65">
        <v>33</v>
      </c>
      <c r="B39" s="107" t="s">
        <v>218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f>C39+E39+G39+I39+K39+M39+MSMEoutstanding_5!M39+OutstandingAgri_4!K39</f>
        <v>0</v>
      </c>
      <c r="P39" s="108">
        <f>N39+L39+J39+H39+F39+D39+MSMEoutstanding_5!N39+OutstandingAgri_4!L39</f>
        <v>0</v>
      </c>
      <c r="Q39" s="109">
        <f>P39*100/'CD Ratio_3(i)'!F39</f>
        <v>0</v>
      </c>
    </row>
    <row r="40" spans="1:17" ht="15" customHeight="1" x14ac:dyDescent="0.2">
      <c r="A40" s="65">
        <v>34</v>
      </c>
      <c r="B40" s="107" t="s">
        <v>219</v>
      </c>
      <c r="C40" s="108">
        <v>0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f>C40+E40+G40+I40+K40+M40+MSMEoutstanding_5!M40+OutstandingAgri_4!K40</f>
        <v>0</v>
      </c>
      <c r="P40" s="108">
        <f>N40+L40+J40+H40+F40+D40+MSMEoutstanding_5!N40+OutstandingAgri_4!L40</f>
        <v>0</v>
      </c>
      <c r="Q40" s="109">
        <f>P40*100/'CD Ratio_3(i)'!F40</f>
        <v>0</v>
      </c>
    </row>
    <row r="41" spans="1:17" ht="15" customHeight="1" x14ac:dyDescent="0.2">
      <c r="A41" s="65">
        <v>35</v>
      </c>
      <c r="B41" s="107" t="s">
        <v>220</v>
      </c>
      <c r="C41" s="108">
        <v>0</v>
      </c>
      <c r="D41" s="108">
        <v>0</v>
      </c>
      <c r="E41" s="108">
        <v>15</v>
      </c>
      <c r="F41" s="108">
        <v>28.1</v>
      </c>
      <c r="G41" s="108">
        <v>133</v>
      </c>
      <c r="H41" s="108">
        <v>819.13</v>
      </c>
      <c r="I41" s="108">
        <v>0</v>
      </c>
      <c r="J41" s="108">
        <v>0</v>
      </c>
      <c r="K41" s="108">
        <v>0</v>
      </c>
      <c r="L41" s="108">
        <v>0</v>
      </c>
      <c r="M41" s="108">
        <v>26</v>
      </c>
      <c r="N41" s="108">
        <v>10.41</v>
      </c>
      <c r="O41" s="108">
        <f>C41+E41+G41+I41+K41+M41+MSMEoutstanding_5!M41+OutstandingAgri_4!K41</f>
        <v>2863</v>
      </c>
      <c r="P41" s="108">
        <f>N41+L41+J41+H41+F41+D41+MSMEoutstanding_5!N41+OutstandingAgri_4!L41</f>
        <v>10211.11</v>
      </c>
      <c r="Q41" s="109">
        <f>P41*100/'CD Ratio_3(i)'!F41</f>
        <v>62.759237850093633</v>
      </c>
    </row>
    <row r="42" spans="1:17" ht="15" customHeight="1" x14ac:dyDescent="0.2">
      <c r="A42" s="65">
        <v>36</v>
      </c>
      <c r="B42" s="107" t="s">
        <v>72</v>
      </c>
      <c r="C42" s="108">
        <v>0</v>
      </c>
      <c r="D42" s="108">
        <v>0</v>
      </c>
      <c r="E42" s="108">
        <v>1318</v>
      </c>
      <c r="F42" s="108">
        <v>2563</v>
      </c>
      <c r="G42" s="108">
        <v>11194</v>
      </c>
      <c r="H42" s="108">
        <v>72614</v>
      </c>
      <c r="I42" s="108">
        <v>0</v>
      </c>
      <c r="J42" s="108">
        <v>0</v>
      </c>
      <c r="K42" s="108">
        <v>2</v>
      </c>
      <c r="L42" s="108">
        <v>36</v>
      </c>
      <c r="M42" s="108">
        <v>1369</v>
      </c>
      <c r="N42" s="108">
        <v>185</v>
      </c>
      <c r="O42" s="108">
        <f>C42+E42+G42+I42+K42+M42+MSMEoutstanding_5!M42+OutstandingAgri_4!K42</f>
        <v>288806</v>
      </c>
      <c r="P42" s="108">
        <f>N42+L42+J42+H42+F42+D42+MSMEoutstanding_5!N42+OutstandingAgri_4!L42</f>
        <v>668679</v>
      </c>
      <c r="Q42" s="109">
        <f>P42*100/'CD Ratio_3(i)'!F42</f>
        <v>57.589584458333441</v>
      </c>
    </row>
    <row r="43" spans="1:17" ht="15" customHeight="1" x14ac:dyDescent="0.2">
      <c r="A43" s="65">
        <v>37</v>
      </c>
      <c r="B43" s="107" t="s">
        <v>73</v>
      </c>
      <c r="C43" s="108">
        <v>0</v>
      </c>
      <c r="D43" s="108">
        <v>0</v>
      </c>
      <c r="E43" s="108">
        <v>14</v>
      </c>
      <c r="F43" s="108">
        <v>28.9</v>
      </c>
      <c r="G43" s="108">
        <v>6667</v>
      </c>
      <c r="H43" s="108">
        <v>29618</v>
      </c>
      <c r="I43" s="108">
        <v>0</v>
      </c>
      <c r="J43" s="108">
        <v>0</v>
      </c>
      <c r="K43" s="108">
        <v>1</v>
      </c>
      <c r="L43" s="108">
        <v>1050</v>
      </c>
      <c r="M43" s="108">
        <v>604</v>
      </c>
      <c r="N43" s="108">
        <v>206.44</v>
      </c>
      <c r="O43" s="108">
        <f>C43+E43+G43+I43+K43+M43+MSMEoutstanding_5!M43+OutstandingAgri_4!K43</f>
        <v>143664</v>
      </c>
      <c r="P43" s="108">
        <f>N43+L43+J43+H43+F43+D43+MSMEoutstanding_5!N43+OutstandingAgri_4!L43</f>
        <v>466369.14</v>
      </c>
      <c r="Q43" s="109">
        <f>P43*100/'CD Ratio_3(i)'!F43</f>
        <v>44.793742000056518</v>
      </c>
    </row>
    <row r="44" spans="1:17" ht="15" customHeight="1" x14ac:dyDescent="0.2">
      <c r="A44" s="65">
        <v>38</v>
      </c>
      <c r="B44" s="107" t="s">
        <v>221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8798</v>
      </c>
      <c r="O44" s="108">
        <f>C44+E44+G44+I44+K44+M44+MSMEoutstanding_5!M44+OutstandingAgri_4!K44</f>
        <v>0</v>
      </c>
      <c r="P44" s="108">
        <f>N44+L44+J44+H44+F44+D44+MSMEoutstanding_5!N44+OutstandingAgri_4!L44</f>
        <v>8798</v>
      </c>
      <c r="Q44" s="109">
        <f>P44*100/'CD Ratio_3(i)'!F44</f>
        <v>100</v>
      </c>
    </row>
    <row r="45" spans="1:17" ht="15" customHeight="1" x14ac:dyDescent="0.2">
      <c r="A45" s="65">
        <v>39</v>
      </c>
      <c r="B45" s="107" t="s">
        <v>222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0.91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f>C45+E45+G45+I45+K45+M45+MSMEoutstanding_5!M45+OutstandingAgri_4!K45</f>
        <v>0</v>
      </c>
      <c r="P45" s="108">
        <f>N45+L45+J45+H45+F45+D45+MSMEoutstanding_5!N45+OutstandingAgri_4!L45</f>
        <v>141678.98260969998</v>
      </c>
      <c r="Q45" s="109">
        <f>P45*100/'CD Ratio_3(i)'!F45</f>
        <v>56.939207318275891</v>
      </c>
    </row>
    <row r="46" spans="1:17" ht="15" customHeight="1" x14ac:dyDescent="0.2">
      <c r="A46" s="65">
        <v>40</v>
      </c>
      <c r="B46" s="107" t="s">
        <v>223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f>C46+E46+G46+I46+K46+M46+MSMEoutstanding_5!M46+OutstandingAgri_4!K46</f>
        <v>235</v>
      </c>
      <c r="P46" s="108">
        <f>N46+L46+J46+H46+F46+D46+MSMEoutstanding_5!N46+OutstandingAgri_4!L46</f>
        <v>781</v>
      </c>
      <c r="Q46" s="109">
        <f>P46*100/'CD Ratio_3(i)'!F46</f>
        <v>22.087104072398191</v>
      </c>
    </row>
    <row r="47" spans="1:17" ht="15" customHeight="1" x14ac:dyDescent="0.2">
      <c r="A47" s="65">
        <v>41</v>
      </c>
      <c r="B47" s="107" t="s">
        <v>224</v>
      </c>
      <c r="C47" s="108">
        <v>0</v>
      </c>
      <c r="D47" s="108">
        <v>0</v>
      </c>
      <c r="E47" s="108">
        <v>12</v>
      </c>
      <c r="F47" s="108">
        <v>40.85</v>
      </c>
      <c r="G47" s="108">
        <v>109</v>
      </c>
      <c r="H47" s="108">
        <v>1353.18</v>
      </c>
      <c r="I47" s="108">
        <v>0</v>
      </c>
      <c r="J47" s="108">
        <v>0</v>
      </c>
      <c r="K47" s="108">
        <v>0</v>
      </c>
      <c r="L47" s="108">
        <v>0</v>
      </c>
      <c r="M47" s="108">
        <v>617</v>
      </c>
      <c r="N47" s="108">
        <v>12246.3</v>
      </c>
      <c r="O47" s="108">
        <f>C47+E47+G47+I47+K47+M47+MSMEoutstanding_5!M47+OutstandingAgri_4!K47</f>
        <v>959</v>
      </c>
      <c r="P47" s="108">
        <f>N47+L47+J47+H47+F47+D47+MSMEoutstanding_5!N47+OutstandingAgri_4!L47</f>
        <v>22223.32</v>
      </c>
      <c r="Q47" s="109">
        <f>P47*100/'CD Ratio_3(i)'!F47</f>
        <v>66.481153523991864</v>
      </c>
    </row>
    <row r="48" spans="1:17" ht="15" customHeight="1" x14ac:dyDescent="0.2">
      <c r="A48" s="65">
        <v>42</v>
      </c>
      <c r="B48" s="107" t="s">
        <v>225</v>
      </c>
      <c r="C48" s="108">
        <v>0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v>0</v>
      </c>
      <c r="N48" s="108">
        <v>0</v>
      </c>
      <c r="O48" s="108">
        <f>C48+E48+G48+I48+K48+M48+MSMEoutstanding_5!M48+OutstandingAgri_4!K48</f>
        <v>0</v>
      </c>
      <c r="P48" s="108">
        <f>N48+L48+J48+H48+F48+D48+MSMEoutstanding_5!N48+OutstandingAgri_4!L48</f>
        <v>0</v>
      </c>
      <c r="Q48" s="109">
        <f>P48*100/'CD Ratio_3(i)'!F48</f>
        <v>0</v>
      </c>
    </row>
    <row r="49" spans="1:17" ht="15" customHeight="1" x14ac:dyDescent="0.2">
      <c r="A49" s="65">
        <v>43</v>
      </c>
      <c r="B49" s="116" t="s">
        <v>74</v>
      </c>
      <c r="C49" s="108">
        <v>0</v>
      </c>
      <c r="D49" s="108">
        <v>0</v>
      </c>
      <c r="E49" s="108">
        <v>0</v>
      </c>
      <c r="F49" s="108">
        <v>0</v>
      </c>
      <c r="G49" s="108">
        <v>161</v>
      </c>
      <c r="H49" s="108">
        <v>634</v>
      </c>
      <c r="I49" s="108">
        <v>0</v>
      </c>
      <c r="J49" s="108">
        <v>0</v>
      </c>
      <c r="K49" s="108">
        <v>0</v>
      </c>
      <c r="L49" s="108">
        <v>0</v>
      </c>
      <c r="M49" s="108">
        <v>28</v>
      </c>
      <c r="N49" s="108">
        <v>16</v>
      </c>
      <c r="O49" s="108">
        <f>C49+E49+G49+I49+K49+M49+MSMEoutstanding_5!M49+OutstandingAgri_4!K49</f>
        <v>33179</v>
      </c>
      <c r="P49" s="108">
        <f>N49+L49+J49+H49+F49+D49+MSMEoutstanding_5!N49+OutstandingAgri_4!L49</f>
        <v>146462</v>
      </c>
      <c r="Q49" s="109">
        <f>P49*100/'CD Ratio_3(i)'!F49</f>
        <v>71.799673508605935</v>
      </c>
    </row>
    <row r="50" spans="1:17" ht="15" customHeight="1" x14ac:dyDescent="0.2">
      <c r="A50" s="65">
        <v>44</v>
      </c>
      <c r="B50" s="107" t="s">
        <v>226</v>
      </c>
      <c r="C50" s="108">
        <v>0</v>
      </c>
      <c r="D50" s="108">
        <v>0</v>
      </c>
      <c r="E50" s="108">
        <v>0</v>
      </c>
      <c r="F50" s="108">
        <v>0</v>
      </c>
      <c r="G50" s="108">
        <v>6</v>
      </c>
      <c r="H50" s="108">
        <v>83</v>
      </c>
      <c r="I50" s="108">
        <v>0</v>
      </c>
      <c r="J50" s="108">
        <v>0</v>
      </c>
      <c r="K50" s="108">
        <v>0</v>
      </c>
      <c r="L50" s="108">
        <v>0</v>
      </c>
      <c r="M50" s="108">
        <v>9</v>
      </c>
      <c r="N50" s="108">
        <v>664</v>
      </c>
      <c r="O50" s="108">
        <f>C50+E50+G50+I50+K50+M50+MSMEoutstanding_5!M50+OutstandingAgri_4!K50</f>
        <v>25</v>
      </c>
      <c r="P50" s="108">
        <f>N50+L50+J50+H50+F50+D50+MSMEoutstanding_5!N50+OutstandingAgri_4!L50</f>
        <v>825</v>
      </c>
      <c r="Q50" s="109">
        <f>P50*100/'CD Ratio_3(i)'!F50</f>
        <v>19.50354609929078</v>
      </c>
    </row>
    <row r="51" spans="1:17" ht="15" customHeight="1" x14ac:dyDescent="0.2">
      <c r="A51" s="65">
        <v>45</v>
      </c>
      <c r="B51" s="107" t="s">
        <v>227</v>
      </c>
      <c r="C51" s="108">
        <v>0</v>
      </c>
      <c r="D51" s="108">
        <v>0</v>
      </c>
      <c r="E51" s="108">
        <v>883</v>
      </c>
      <c r="F51" s="108">
        <v>128</v>
      </c>
      <c r="G51" s="108">
        <v>500</v>
      </c>
      <c r="H51" s="108">
        <v>86</v>
      </c>
      <c r="I51" s="108">
        <v>0</v>
      </c>
      <c r="J51" s="108">
        <v>0</v>
      </c>
      <c r="K51" s="108">
        <v>0</v>
      </c>
      <c r="L51" s="108">
        <v>0</v>
      </c>
      <c r="M51" s="108">
        <v>162946</v>
      </c>
      <c r="N51" s="108">
        <v>18981</v>
      </c>
      <c r="O51" s="108">
        <f>C51+E51+G51+I51+K51+M51+MSMEoutstanding_5!M51+OutstandingAgri_4!K51</f>
        <v>169748</v>
      </c>
      <c r="P51" s="108">
        <f>N51+L51+J51+H51+F51+D51+MSMEoutstanding_5!N51+OutstandingAgri_4!L51</f>
        <v>49474</v>
      </c>
      <c r="Q51" s="109">
        <f>P51*100/'CD Ratio_3(i)'!F51</f>
        <v>60.278278668551096</v>
      </c>
    </row>
    <row r="52" spans="1:17" ht="15" customHeight="1" x14ac:dyDescent="0.2">
      <c r="A52" s="65">
        <v>46</v>
      </c>
      <c r="B52" s="107" t="s">
        <v>228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f>C52+E52+G52+I52+K52+M52+MSMEoutstanding_5!M52+OutstandingAgri_4!K52</f>
        <v>154</v>
      </c>
      <c r="P52" s="108">
        <f>N52+L52+J52+H52+F52+D52+MSMEoutstanding_5!N52+OutstandingAgri_4!L52</f>
        <v>4673.08</v>
      </c>
      <c r="Q52" s="109">
        <f>P52*100/'CD Ratio_3(i)'!F52</f>
        <v>96.606928374000717</v>
      </c>
    </row>
    <row r="53" spans="1:17" ht="15" customHeight="1" x14ac:dyDescent="0.2">
      <c r="A53" s="65">
        <v>47</v>
      </c>
      <c r="B53" s="107" t="s">
        <v>78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f>C53+E53+G53+I53+K53+M53+MSMEoutstanding_5!M53+OutstandingAgri_4!K53</f>
        <v>0</v>
      </c>
      <c r="P53" s="108">
        <f>N53+L53+J53+H53+F53+D53+MSMEoutstanding_5!N53+OutstandingAgri_4!L53</f>
        <v>0</v>
      </c>
      <c r="Q53" s="109">
        <f>P53*100/'CD Ratio_3(i)'!F53</f>
        <v>0</v>
      </c>
    </row>
    <row r="54" spans="1:17" ht="15" customHeight="1" x14ac:dyDescent="0.2">
      <c r="A54" s="65">
        <v>48</v>
      </c>
      <c r="B54" s="107" t="s">
        <v>229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8">
        <f>C54+E54+G54+I54+K54+M54+MSMEoutstanding_5!M54+OutstandingAgri_4!K54</f>
        <v>0</v>
      </c>
      <c r="P54" s="108">
        <f>N54+L54+J54+H54+F54+D54+MSMEoutstanding_5!N54+OutstandingAgri_4!L54</f>
        <v>0</v>
      </c>
      <c r="Q54" s="109">
        <f>P54*100/'CD Ratio_3(i)'!F54</f>
        <v>0</v>
      </c>
    </row>
    <row r="55" spans="1:17" ht="15" customHeight="1" x14ac:dyDescent="0.2">
      <c r="A55" s="65">
        <v>49</v>
      </c>
      <c r="B55" s="107" t="s">
        <v>77</v>
      </c>
      <c r="C55" s="108">
        <v>0</v>
      </c>
      <c r="D55" s="108">
        <v>0</v>
      </c>
      <c r="E55" s="108">
        <v>0</v>
      </c>
      <c r="F55" s="108">
        <v>0</v>
      </c>
      <c r="G55" s="108">
        <v>28</v>
      </c>
      <c r="H55" s="108">
        <v>311</v>
      </c>
      <c r="I55" s="108">
        <v>0</v>
      </c>
      <c r="J55" s="108">
        <v>0</v>
      </c>
      <c r="K55" s="108">
        <v>0</v>
      </c>
      <c r="L55" s="108">
        <v>0</v>
      </c>
      <c r="M55" s="108">
        <v>105</v>
      </c>
      <c r="N55" s="108">
        <v>111</v>
      </c>
      <c r="O55" s="108">
        <f>C55+E55+G55+I55+K55+M55+MSMEoutstanding_5!M55+OutstandingAgri_4!K55</f>
        <v>17982</v>
      </c>
      <c r="P55" s="108">
        <f>N55+L55+J55+H55+F55+D55+MSMEoutstanding_5!N55+OutstandingAgri_4!L55</f>
        <v>67709.72</v>
      </c>
      <c r="Q55" s="109">
        <f>P55*100/'CD Ratio_3(i)'!F55</f>
        <v>85.781257522202381</v>
      </c>
    </row>
    <row r="56" spans="1:17" ht="15" customHeight="1" x14ac:dyDescent="0.2">
      <c r="A56" s="68"/>
      <c r="B56" s="114" t="s">
        <v>408</v>
      </c>
      <c r="C56" s="115">
        <f>SUM(C34:C55)</f>
        <v>0</v>
      </c>
      <c r="D56" s="115">
        <f t="shared" ref="D56:N56" si="1">SUM(D34:D55)</f>
        <v>0</v>
      </c>
      <c r="E56" s="115">
        <f t="shared" si="1"/>
        <v>2473</v>
      </c>
      <c r="F56" s="115">
        <f t="shared" si="1"/>
        <v>3779.83</v>
      </c>
      <c r="G56" s="115">
        <f t="shared" si="1"/>
        <v>25294</v>
      </c>
      <c r="H56" s="115">
        <f t="shared" si="1"/>
        <v>171677.7</v>
      </c>
      <c r="I56" s="115">
        <f t="shared" si="1"/>
        <v>0</v>
      </c>
      <c r="J56" s="115">
        <f t="shared" si="1"/>
        <v>0</v>
      </c>
      <c r="K56" s="115">
        <f t="shared" si="1"/>
        <v>3</v>
      </c>
      <c r="L56" s="115">
        <f t="shared" si="1"/>
        <v>1086</v>
      </c>
      <c r="M56" s="115">
        <f t="shared" si="1"/>
        <v>224319</v>
      </c>
      <c r="N56" s="115">
        <f t="shared" si="1"/>
        <v>48891.99</v>
      </c>
      <c r="O56" s="115">
        <f>C56+E56+G56+I56+K56+M56+MSMEoutstanding_5!M56+OutstandingAgri_4!K56</f>
        <v>923472</v>
      </c>
      <c r="P56" s="115">
        <f>N56+L56+J56+H56+F56+D56+MSMEoutstanding_5!N56+OutstandingAgri_4!L56</f>
        <v>1927662.1326096999</v>
      </c>
      <c r="Q56" s="106">
        <f>P56*100/'CD Ratio_3(i)'!F56</f>
        <v>52.819916019032277</v>
      </c>
    </row>
    <row r="57" spans="1:17" ht="15" customHeight="1" x14ac:dyDescent="0.2">
      <c r="A57" s="65">
        <v>48</v>
      </c>
      <c r="B57" s="66" t="s">
        <v>47</v>
      </c>
      <c r="C57" s="108">
        <v>0</v>
      </c>
      <c r="D57" s="108">
        <v>0</v>
      </c>
      <c r="E57" s="108">
        <v>1212</v>
      </c>
      <c r="F57" s="108">
        <v>2892.21</v>
      </c>
      <c r="G57" s="108">
        <v>140202</v>
      </c>
      <c r="H57" s="108">
        <v>74070.55</v>
      </c>
      <c r="I57" s="108">
        <v>0</v>
      </c>
      <c r="J57" s="108">
        <v>0</v>
      </c>
      <c r="K57" s="108">
        <v>87</v>
      </c>
      <c r="L57" s="108">
        <v>14.08</v>
      </c>
      <c r="M57" s="108">
        <v>1073</v>
      </c>
      <c r="N57" s="108">
        <f>276406.75-269992</f>
        <v>6414.75</v>
      </c>
      <c r="O57" s="108">
        <f>C57+E57+G57+I57+K57+M57+MSMEoutstanding_5!M57+OutstandingAgri_4!K57</f>
        <v>352299</v>
      </c>
      <c r="P57" s="108">
        <f>N57+L57+J57+H57+F57+D57+MSMEoutstanding_5!N57+OutstandingAgri_4!L57</f>
        <v>353384.08</v>
      </c>
      <c r="Q57" s="109">
        <f>P57*100/'CD Ratio_3(i)'!F57</f>
        <v>88.496198048087606</v>
      </c>
    </row>
    <row r="58" spans="1:17" ht="15" customHeight="1" x14ac:dyDescent="0.2">
      <c r="A58" s="65">
        <v>49</v>
      </c>
      <c r="B58" s="66" t="s">
        <v>230</v>
      </c>
      <c r="C58" s="108">
        <v>0</v>
      </c>
      <c r="D58" s="108">
        <v>0</v>
      </c>
      <c r="E58" s="108">
        <v>648</v>
      </c>
      <c r="F58" s="108">
        <v>1243</v>
      </c>
      <c r="G58" s="108">
        <v>56486</v>
      </c>
      <c r="H58" s="108">
        <v>46905</v>
      </c>
      <c r="I58" s="108">
        <v>0</v>
      </c>
      <c r="J58" s="108">
        <v>0</v>
      </c>
      <c r="K58" s="108">
        <v>765</v>
      </c>
      <c r="L58" s="108">
        <v>159</v>
      </c>
      <c r="M58" s="108">
        <v>5625</v>
      </c>
      <c r="N58" s="108">
        <v>1999</v>
      </c>
      <c r="O58" s="108">
        <f>C58+E58+G58+I58+K58+M58+MSMEoutstanding_5!M58+OutstandingAgri_4!K58</f>
        <v>332804</v>
      </c>
      <c r="P58" s="108">
        <f>N58+L58+J58+H58+F58+D58+MSMEoutstanding_5!N58+OutstandingAgri_4!L58</f>
        <v>243312</v>
      </c>
      <c r="Q58" s="109">
        <f>P58*100/'CD Ratio_3(i)'!F58</f>
        <v>93.061112088550956</v>
      </c>
    </row>
    <row r="59" spans="1:17" ht="15" customHeight="1" x14ac:dyDescent="0.2">
      <c r="A59" s="65">
        <v>50</v>
      </c>
      <c r="B59" s="66" t="s">
        <v>53</v>
      </c>
      <c r="C59" s="108">
        <v>0</v>
      </c>
      <c r="D59" s="108">
        <v>0</v>
      </c>
      <c r="E59" s="108">
        <v>1976</v>
      </c>
      <c r="F59" s="108">
        <v>4250.6400000000003</v>
      </c>
      <c r="G59" s="108">
        <v>61774</v>
      </c>
      <c r="H59" s="108">
        <v>63188.76</v>
      </c>
      <c r="I59" s="108">
        <v>0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f>C59+E59+G59+I59+K59+M59+MSMEoutstanding_5!M59+OutstandingAgri_4!K59</f>
        <v>330146</v>
      </c>
      <c r="P59" s="108">
        <f>N59+L59+J59+H59+F59+D59+MSMEoutstanding_5!N59+OutstandingAgri_4!L59</f>
        <v>414695.97</v>
      </c>
      <c r="Q59" s="109">
        <f>P59*100/'CD Ratio_3(i)'!F59</f>
        <v>93.010772488101594</v>
      </c>
    </row>
    <row r="60" spans="1:17" s="117" customFormat="1" x14ac:dyDescent="0.2">
      <c r="A60" s="270"/>
      <c r="B60" s="68" t="s">
        <v>415</v>
      </c>
      <c r="C60" s="115">
        <f>SUM(C57:C59)</f>
        <v>0</v>
      </c>
      <c r="D60" s="115">
        <f t="shared" ref="D60:N60" si="2">SUM(D57:D59)</f>
        <v>0</v>
      </c>
      <c r="E60" s="115">
        <f t="shared" si="2"/>
        <v>3836</v>
      </c>
      <c r="F60" s="115">
        <f t="shared" si="2"/>
        <v>8385.85</v>
      </c>
      <c r="G60" s="115">
        <f t="shared" si="2"/>
        <v>258462</v>
      </c>
      <c r="H60" s="115">
        <f t="shared" si="2"/>
        <v>184164.31</v>
      </c>
      <c r="I60" s="115">
        <f t="shared" si="2"/>
        <v>0</v>
      </c>
      <c r="J60" s="115">
        <f t="shared" si="2"/>
        <v>0</v>
      </c>
      <c r="K60" s="115">
        <f t="shared" si="2"/>
        <v>852</v>
      </c>
      <c r="L60" s="115">
        <f t="shared" si="2"/>
        <v>173.08</v>
      </c>
      <c r="M60" s="115">
        <f t="shared" si="2"/>
        <v>6698</v>
      </c>
      <c r="N60" s="115">
        <f t="shared" si="2"/>
        <v>8413.75</v>
      </c>
      <c r="O60" s="115">
        <f>C60+E60+G60+I60+K60+M60+MSMEoutstanding_5!M60+OutstandingAgri_4!K60</f>
        <v>1015249</v>
      </c>
      <c r="P60" s="115">
        <f>N60+L60+J60+H60+F60+D60+MSMEoutstanding_5!N60+OutstandingAgri_4!L60</f>
        <v>1011392.05</v>
      </c>
      <c r="Q60" s="106">
        <f>P60*100/'CD Ratio_3(i)'!F60</f>
        <v>91.393611722474986</v>
      </c>
    </row>
    <row r="61" spans="1:17" x14ac:dyDescent="0.2">
      <c r="A61" s="65">
        <v>51</v>
      </c>
      <c r="B61" s="66" t="s">
        <v>409</v>
      </c>
      <c r="C61" s="108">
        <v>0</v>
      </c>
      <c r="D61" s="275">
        <v>0</v>
      </c>
      <c r="E61" s="275">
        <v>0</v>
      </c>
      <c r="F61" s="275">
        <v>335.54</v>
      </c>
      <c r="G61" s="275">
        <v>0</v>
      </c>
      <c r="H61" s="275">
        <v>30666.67</v>
      </c>
      <c r="I61" s="275">
        <v>0</v>
      </c>
      <c r="J61" s="275">
        <v>0</v>
      </c>
      <c r="K61" s="275">
        <v>0</v>
      </c>
      <c r="L61" s="275">
        <v>0</v>
      </c>
      <c r="M61" s="275">
        <v>0</v>
      </c>
      <c r="N61" s="275">
        <v>121098</v>
      </c>
      <c r="O61" s="108">
        <f>C61+E61+G61+I61+K61+M61+MSMEoutstanding_5!M61+OutstandingAgri_4!K61</f>
        <v>5686238</v>
      </c>
      <c r="P61" s="108">
        <f>N61+L61+J61+H61+F61+D61+MSMEoutstanding_5!N61+OutstandingAgri_4!L61</f>
        <v>1860135.99</v>
      </c>
      <c r="Q61" s="109">
        <f>P61*100/'CD Ratio_3(i)'!F61</f>
        <v>100</v>
      </c>
    </row>
    <row r="62" spans="1:17" s="117" customFormat="1" x14ac:dyDescent="0.2">
      <c r="A62" s="270"/>
      <c r="B62" s="68" t="s">
        <v>410</v>
      </c>
      <c r="C62" s="115">
        <f>C61</f>
        <v>0</v>
      </c>
      <c r="D62" s="115">
        <f t="shared" ref="D62:N62" si="3">D61</f>
        <v>0</v>
      </c>
      <c r="E62" s="115">
        <f t="shared" si="3"/>
        <v>0</v>
      </c>
      <c r="F62" s="115">
        <f t="shared" si="3"/>
        <v>335.54</v>
      </c>
      <c r="G62" s="115">
        <f t="shared" si="3"/>
        <v>0</v>
      </c>
      <c r="H62" s="115">
        <f t="shared" si="3"/>
        <v>30666.67</v>
      </c>
      <c r="I62" s="115">
        <f t="shared" si="3"/>
        <v>0</v>
      </c>
      <c r="J62" s="115">
        <f t="shared" si="3"/>
        <v>0</v>
      </c>
      <c r="K62" s="115">
        <f t="shared" si="3"/>
        <v>0</v>
      </c>
      <c r="L62" s="115">
        <f t="shared" si="3"/>
        <v>0</v>
      </c>
      <c r="M62" s="115">
        <f t="shared" si="3"/>
        <v>0</v>
      </c>
      <c r="N62" s="115">
        <f t="shared" si="3"/>
        <v>121098</v>
      </c>
      <c r="O62" s="115">
        <f>C62+E62+G62+I62+K62+M62+MSMEoutstanding_5!M62+OutstandingAgri_4!K62</f>
        <v>5686238</v>
      </c>
      <c r="P62" s="115">
        <f>N62+L62+J62+H62+F62+D62+MSMEoutstanding_5!N62+OutstandingAgri_4!L62</f>
        <v>1860135.99</v>
      </c>
      <c r="Q62" s="106">
        <f>P62*100/'CD Ratio_3(i)'!F62</f>
        <v>100</v>
      </c>
    </row>
    <row r="63" spans="1:17" s="117" customFormat="1" x14ac:dyDescent="0.2">
      <c r="A63" s="270"/>
      <c r="B63" s="68" t="s">
        <v>411</v>
      </c>
      <c r="C63" s="115">
        <f>C62+C60+C56+C33</f>
        <v>23</v>
      </c>
      <c r="D63" s="115">
        <f t="shared" ref="D63:N63" si="4">D62+D60+D56+D33</f>
        <v>10380</v>
      </c>
      <c r="E63" s="115">
        <f t="shared" si="4"/>
        <v>87969</v>
      </c>
      <c r="F63" s="115">
        <f t="shared" si="4"/>
        <v>204425.03999999998</v>
      </c>
      <c r="G63" s="115">
        <f t="shared" si="4"/>
        <v>830043</v>
      </c>
      <c r="H63" s="115">
        <f t="shared" si="4"/>
        <v>1873188.78</v>
      </c>
      <c r="I63" s="115">
        <f t="shared" si="4"/>
        <v>1125</v>
      </c>
      <c r="J63" s="115">
        <f t="shared" si="4"/>
        <v>13902.529999999999</v>
      </c>
      <c r="K63" s="115">
        <f t="shared" si="4"/>
        <v>911</v>
      </c>
      <c r="L63" s="115">
        <f t="shared" si="4"/>
        <v>66644.460000000006</v>
      </c>
      <c r="M63" s="115">
        <f t="shared" si="4"/>
        <v>294592</v>
      </c>
      <c r="N63" s="115">
        <f t="shared" si="4"/>
        <v>337167.75</v>
      </c>
      <c r="O63" s="115">
        <f>C63+E63+G63+I63+K63+M63+MSMEoutstanding_5!M63+OutstandingAgri_4!K63</f>
        <v>11069511</v>
      </c>
      <c r="P63" s="115">
        <f>N63+L63+J63+H63+F63+D63+MSMEoutstanding_5!N63+OutstandingAgri_4!L63</f>
        <v>13874612.982609699</v>
      </c>
      <c r="Q63" s="106">
        <f>P63*100/'CD Ratio_3(i)'!F63</f>
        <v>63.054263636619588</v>
      </c>
    </row>
    <row r="64" spans="1:17" x14ac:dyDescent="0.2">
      <c r="A64" s="69"/>
    </row>
    <row r="66" spans="3:17" x14ac:dyDescent="0.2">
      <c r="P66" s="120">
        <v>14310880</v>
      </c>
    </row>
    <row r="67" spans="3:17" x14ac:dyDescent="0.2">
      <c r="P67" s="120">
        <f>P66-P63</f>
        <v>436267.01739030145</v>
      </c>
    </row>
    <row r="69" spans="3:17" s="379" customFormat="1" x14ac:dyDescent="0.2"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8"/>
    </row>
  </sheetData>
  <mergeCells count="12"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conditionalFormatting sqref="B6">
    <cfRule type="duplicateValues" dxfId="165" priority="10"/>
  </conditionalFormatting>
  <conditionalFormatting sqref="B22">
    <cfRule type="duplicateValues" dxfId="164" priority="11"/>
  </conditionalFormatting>
  <conditionalFormatting sqref="B33:B34 B26:B30">
    <cfRule type="duplicateValues" dxfId="163" priority="12"/>
  </conditionalFormatting>
  <conditionalFormatting sqref="B52">
    <cfRule type="duplicateValues" dxfId="162" priority="13"/>
  </conditionalFormatting>
  <conditionalFormatting sqref="B56">
    <cfRule type="duplicateValues" dxfId="161" priority="14"/>
  </conditionalFormatting>
  <conditionalFormatting sqref="B58">
    <cfRule type="duplicateValues" dxfId="160" priority="15"/>
  </conditionalFormatting>
  <conditionalFormatting sqref="Q1:Q1048576">
    <cfRule type="cellIs" dxfId="159" priority="1" operator="lessThan">
      <formula>40</formula>
    </cfRule>
    <cfRule type="cellIs" dxfId="158" priority="2" operator="greaterThan">
      <formula>100</formula>
    </cfRule>
    <cfRule type="cellIs" dxfId="157" priority="3" operator="greaterThan">
      <formula>100</formula>
    </cfRule>
  </conditionalFormatting>
  <pageMargins left="0.25" right="0.25" top="0.5" bottom="0.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1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7" sqref="A7"/>
      <selection pane="bottomRight" activeCell="C33" sqref="C33"/>
    </sheetView>
  </sheetViews>
  <sheetFormatPr defaultColWidth="4.42578125" defaultRowHeight="13.5" x14ac:dyDescent="0.2"/>
  <cols>
    <col min="1" max="1" width="4.42578125" style="71"/>
    <col min="2" max="2" width="22.5703125" style="71" customWidth="1"/>
    <col min="3" max="3" width="8.42578125" style="120" customWidth="1"/>
    <col min="4" max="4" width="9.28515625" style="120" customWidth="1"/>
    <col min="5" max="5" width="8.42578125" style="120" customWidth="1"/>
    <col min="6" max="6" width="9" style="120" customWidth="1"/>
    <col min="7" max="7" width="8.85546875" style="120" customWidth="1"/>
    <col min="8" max="8" width="8" style="120" customWidth="1"/>
    <col min="9" max="9" width="7.85546875" style="120" customWidth="1"/>
    <col min="10" max="10" width="8" style="120" customWidth="1"/>
    <col min="11" max="11" width="8.28515625" style="120" customWidth="1"/>
    <col min="12" max="12" width="7.7109375" style="120" customWidth="1"/>
    <col min="13" max="13" width="7.42578125" style="120" customWidth="1"/>
    <col min="14" max="14" width="7.140625" style="120" customWidth="1"/>
    <col min="15" max="16" width="7.7109375" style="120" customWidth="1"/>
    <col min="17" max="17" width="8.140625" style="120" customWidth="1"/>
    <col min="18" max="18" width="8.7109375" style="120" customWidth="1"/>
    <col min="19" max="19" width="10.140625" style="118" customWidth="1"/>
    <col min="20" max="20" width="4.7109375" style="71" bestFit="1" customWidth="1"/>
    <col min="21" max="16384" width="4.42578125" style="71"/>
  </cols>
  <sheetData>
    <row r="1" spans="1:20" ht="18.75" x14ac:dyDescent="0.2">
      <c r="A1" s="426" t="s">
        <v>430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20" x14ac:dyDescent="0.2">
      <c r="B2" s="117" t="s">
        <v>135</v>
      </c>
      <c r="I2" s="120" t="s">
        <v>143</v>
      </c>
      <c r="L2" s="121" t="s">
        <v>145</v>
      </c>
    </row>
    <row r="3" spans="1:20" ht="13.5" customHeight="1" x14ac:dyDescent="0.2">
      <c r="A3" s="427" t="s">
        <v>121</v>
      </c>
      <c r="B3" s="427" t="s">
        <v>101</v>
      </c>
      <c r="C3" s="432" t="s">
        <v>425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279">
        <v>0.1</v>
      </c>
    </row>
    <row r="4" spans="1:20" ht="75" customHeight="1" x14ac:dyDescent="0.2">
      <c r="A4" s="427"/>
      <c r="B4" s="427"/>
      <c r="C4" s="428" t="s">
        <v>146</v>
      </c>
      <c r="D4" s="428"/>
      <c r="E4" s="428" t="s">
        <v>147</v>
      </c>
      <c r="F4" s="428"/>
      <c r="G4" s="428" t="s">
        <v>148</v>
      </c>
      <c r="H4" s="428"/>
      <c r="I4" s="428" t="s">
        <v>149</v>
      </c>
      <c r="J4" s="428"/>
      <c r="K4" s="428" t="s">
        <v>150</v>
      </c>
      <c r="L4" s="428"/>
      <c r="M4" s="428" t="s">
        <v>151</v>
      </c>
      <c r="N4" s="428"/>
      <c r="O4" s="428" t="s">
        <v>206</v>
      </c>
      <c r="P4" s="428"/>
      <c r="Q4" s="428" t="s">
        <v>152</v>
      </c>
      <c r="R4" s="428"/>
      <c r="S4" s="123" t="s">
        <v>273</v>
      </c>
    </row>
    <row r="5" spans="1:20" x14ac:dyDescent="0.2">
      <c r="A5" s="427"/>
      <c r="B5" s="427"/>
      <c r="C5" s="122" t="s">
        <v>267</v>
      </c>
      <c r="D5" s="122" t="s">
        <v>266</v>
      </c>
      <c r="E5" s="122" t="s">
        <v>267</v>
      </c>
      <c r="F5" s="122" t="s">
        <v>266</v>
      </c>
      <c r="G5" s="122" t="s">
        <v>267</v>
      </c>
      <c r="H5" s="122" t="s">
        <v>266</v>
      </c>
      <c r="I5" s="122" t="s">
        <v>267</v>
      </c>
      <c r="J5" s="122" t="s">
        <v>266</v>
      </c>
      <c r="K5" s="122" t="s">
        <v>267</v>
      </c>
      <c r="L5" s="122" t="s">
        <v>266</v>
      </c>
      <c r="M5" s="122" t="s">
        <v>267</v>
      </c>
      <c r="N5" s="122" t="s">
        <v>266</v>
      </c>
      <c r="O5" s="122" t="s">
        <v>267</v>
      </c>
      <c r="P5" s="122" t="s">
        <v>266</v>
      </c>
      <c r="Q5" s="122" t="s">
        <v>267</v>
      </c>
      <c r="R5" s="122" t="s">
        <v>266</v>
      </c>
      <c r="S5" s="119" t="s">
        <v>17</v>
      </c>
    </row>
    <row r="6" spans="1:20" ht="15" customHeight="1" x14ac:dyDescent="0.2">
      <c r="A6" s="65">
        <v>1</v>
      </c>
      <c r="B6" s="107" t="s">
        <v>56</v>
      </c>
      <c r="C6" s="108">
        <v>79689</v>
      </c>
      <c r="D6" s="108">
        <v>170440</v>
      </c>
      <c r="E6" s="108">
        <f>SCST_OS_22!C6+SCST_OS_22!E6</f>
        <v>41028</v>
      </c>
      <c r="F6" s="108">
        <f>SCST_OS_22!D6+SCST_OS_22!F6</f>
        <v>98834</v>
      </c>
      <c r="G6" s="108">
        <v>1532</v>
      </c>
      <c r="H6" s="108">
        <v>752</v>
      </c>
      <c r="I6" s="108">
        <f>Minority_OS_20!O6</f>
        <v>18780</v>
      </c>
      <c r="J6" s="108">
        <f>Minority_OS_20!P6</f>
        <v>39322</v>
      </c>
      <c r="K6" s="108">
        <v>1309</v>
      </c>
      <c r="L6" s="108">
        <v>4</v>
      </c>
      <c r="M6" s="108">
        <v>245</v>
      </c>
      <c r="N6" s="108">
        <v>31</v>
      </c>
      <c r="O6" s="108">
        <v>2245</v>
      </c>
      <c r="P6" s="108">
        <v>6793</v>
      </c>
      <c r="Q6" s="108">
        <f>C6+E6+G6+I6+K6+M6+O6</f>
        <v>144828</v>
      </c>
      <c r="R6" s="108">
        <f>D6+F6+H6+J6+L6+N6+P6</f>
        <v>316176</v>
      </c>
      <c r="S6" s="124">
        <f>R6*100/'CD Ratio_3(i)'!F6</f>
        <v>43.913516306317945</v>
      </c>
    </row>
    <row r="7" spans="1:20" ht="15" customHeight="1" x14ac:dyDescent="0.2">
      <c r="A7" s="65">
        <v>2</v>
      </c>
      <c r="B7" s="107" t="s">
        <v>57</v>
      </c>
      <c r="C7" s="108">
        <v>122</v>
      </c>
      <c r="D7" s="108">
        <v>101.42</v>
      </c>
      <c r="E7" s="108">
        <f>SCST_OS_22!C7+SCST_OS_22!E7</f>
        <v>169</v>
      </c>
      <c r="F7" s="108">
        <f>SCST_OS_22!D7+SCST_OS_22!F7</f>
        <v>324.18</v>
      </c>
      <c r="G7" s="108">
        <v>0</v>
      </c>
      <c r="H7" s="108">
        <v>0</v>
      </c>
      <c r="I7" s="108">
        <f>Minority_OS_20!O7</f>
        <v>732</v>
      </c>
      <c r="J7" s="108">
        <f>Minority_OS_20!P7</f>
        <v>3624.23</v>
      </c>
      <c r="K7" s="108">
        <v>315</v>
      </c>
      <c r="L7" s="108">
        <v>4.3</v>
      </c>
      <c r="M7" s="108">
        <v>8</v>
      </c>
      <c r="N7" s="108">
        <v>0.61</v>
      </c>
      <c r="O7" s="108">
        <v>0</v>
      </c>
      <c r="P7" s="108">
        <v>0</v>
      </c>
      <c r="Q7" s="108">
        <f t="shared" ref="Q7:Q61" si="0">C7+E7+G7+I7+K7+M7+O7</f>
        <v>1346</v>
      </c>
      <c r="R7" s="108">
        <f t="shared" ref="R7:R61" si="1">D7+F7+H7+J7+L7+N7+P7</f>
        <v>4054.7400000000002</v>
      </c>
      <c r="S7" s="124">
        <f>R7*100/'CD Ratio_3(i)'!F7</f>
        <v>8.0523198026489169</v>
      </c>
    </row>
    <row r="8" spans="1:20" ht="15" customHeight="1" x14ac:dyDescent="0.2">
      <c r="A8" s="65">
        <v>3</v>
      </c>
      <c r="B8" s="107" t="s">
        <v>58</v>
      </c>
      <c r="C8" s="108">
        <v>39281</v>
      </c>
      <c r="D8" s="108">
        <v>59983</v>
      </c>
      <c r="E8" s="108">
        <f>SCST_OS_22!C8+SCST_OS_22!E8</f>
        <v>21409</v>
      </c>
      <c r="F8" s="108">
        <f>SCST_OS_22!D8+SCST_OS_22!F8</f>
        <v>22084.5</v>
      </c>
      <c r="G8" s="108">
        <v>668</v>
      </c>
      <c r="H8" s="108">
        <v>867</v>
      </c>
      <c r="I8" s="108">
        <f>Minority_OS_20!O8</f>
        <v>7753</v>
      </c>
      <c r="J8" s="108">
        <f>Minority_OS_20!P8</f>
        <v>99095</v>
      </c>
      <c r="K8" s="108">
        <v>6144</v>
      </c>
      <c r="L8" s="108">
        <v>109.34</v>
      </c>
      <c r="M8" s="108">
        <v>49</v>
      </c>
      <c r="N8" s="108">
        <v>326</v>
      </c>
      <c r="O8" s="108">
        <v>85</v>
      </c>
      <c r="P8" s="108">
        <v>31.5</v>
      </c>
      <c r="Q8" s="108">
        <f t="shared" si="0"/>
        <v>75389</v>
      </c>
      <c r="R8" s="108">
        <f t="shared" si="1"/>
        <v>182496.34</v>
      </c>
      <c r="S8" s="124">
        <f>R8*100/'CD Ratio_3(i)'!F8</f>
        <v>25.863993764172335</v>
      </c>
    </row>
    <row r="9" spans="1:20" ht="15" customHeight="1" x14ac:dyDescent="0.2">
      <c r="A9" s="65">
        <v>4</v>
      </c>
      <c r="B9" s="107" t="s">
        <v>59</v>
      </c>
      <c r="C9" s="108">
        <v>279135</v>
      </c>
      <c r="D9" s="108">
        <v>417990</v>
      </c>
      <c r="E9" s="108">
        <f>SCST_OS_22!C9+SCST_OS_22!E9</f>
        <v>270765</v>
      </c>
      <c r="F9" s="108">
        <f>SCST_OS_22!D9+SCST_OS_22!F9</f>
        <v>478836</v>
      </c>
      <c r="G9" s="108">
        <v>2436</v>
      </c>
      <c r="H9" s="108">
        <v>2511</v>
      </c>
      <c r="I9" s="108">
        <f>Minority_OS_20!O9</f>
        <v>18915</v>
      </c>
      <c r="J9" s="108">
        <f>Minority_OS_20!P9</f>
        <v>52656.2</v>
      </c>
      <c r="K9" s="108">
        <v>7055</v>
      </c>
      <c r="L9" s="108">
        <v>186</v>
      </c>
      <c r="M9" s="108">
        <v>39</v>
      </c>
      <c r="N9" s="108">
        <v>16</v>
      </c>
      <c r="O9" s="108">
        <v>146</v>
      </c>
      <c r="P9" s="108">
        <v>55</v>
      </c>
      <c r="Q9" s="108">
        <f t="shared" si="0"/>
        <v>578491</v>
      </c>
      <c r="R9" s="108">
        <f t="shared" si="1"/>
        <v>952250.2</v>
      </c>
      <c r="S9" s="124">
        <f>R9*100/'CD Ratio_3(i)'!F9</f>
        <v>57.668549889871109</v>
      </c>
    </row>
    <row r="10" spans="1:20" ht="15" customHeight="1" x14ac:dyDescent="0.2">
      <c r="A10" s="65">
        <v>5</v>
      </c>
      <c r="B10" s="107" t="s">
        <v>60</v>
      </c>
      <c r="C10" s="108">
        <v>31456</v>
      </c>
      <c r="D10" s="108">
        <v>48123</v>
      </c>
      <c r="E10" s="108">
        <f>SCST_OS_22!C10+SCST_OS_22!E10</f>
        <v>25612</v>
      </c>
      <c r="F10" s="108">
        <f>SCST_OS_22!D10+SCST_OS_22!F10</f>
        <v>39595</v>
      </c>
      <c r="G10" s="108">
        <v>645</v>
      </c>
      <c r="H10" s="108">
        <v>613</v>
      </c>
      <c r="I10" s="108">
        <f>Minority_OS_20!O10</f>
        <v>8936</v>
      </c>
      <c r="J10" s="108">
        <f>Minority_OS_20!P10</f>
        <v>22385</v>
      </c>
      <c r="K10" s="108">
        <v>319</v>
      </c>
      <c r="L10" s="108">
        <v>258</v>
      </c>
      <c r="M10" s="108">
        <v>71</v>
      </c>
      <c r="N10" s="108">
        <v>49</v>
      </c>
      <c r="O10" s="108">
        <v>1048</v>
      </c>
      <c r="P10" s="108">
        <v>603</v>
      </c>
      <c r="Q10" s="108">
        <f t="shared" si="0"/>
        <v>68087</v>
      </c>
      <c r="R10" s="108">
        <f t="shared" si="1"/>
        <v>111626</v>
      </c>
      <c r="S10" s="124">
        <f>R10*100/'CD Ratio_3(i)'!F10</f>
        <v>35.344145193872578</v>
      </c>
    </row>
    <row r="11" spans="1:20" ht="15" customHeight="1" x14ac:dyDescent="0.2">
      <c r="A11" s="65">
        <v>6</v>
      </c>
      <c r="B11" s="110" t="s">
        <v>244</v>
      </c>
      <c r="C11" s="108">
        <v>0</v>
      </c>
      <c r="D11" s="108">
        <v>0</v>
      </c>
      <c r="E11" s="108">
        <f>SCST_OS_22!C11+SCST_OS_22!E11</f>
        <v>52</v>
      </c>
      <c r="F11" s="108">
        <f>SCST_OS_22!D11+SCST_OS_22!F11</f>
        <v>58.81</v>
      </c>
      <c r="G11" s="108">
        <v>21</v>
      </c>
      <c r="H11" s="108">
        <v>26.8</v>
      </c>
      <c r="I11" s="108">
        <f>Minority_OS_20!O11</f>
        <v>45</v>
      </c>
      <c r="J11" s="108">
        <f>Minority_OS_20!P11</f>
        <v>60.49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f t="shared" si="0"/>
        <v>118</v>
      </c>
      <c r="R11" s="108">
        <f t="shared" si="1"/>
        <v>146.1</v>
      </c>
      <c r="S11" s="124">
        <f>R11*100/'CD Ratio_3(i)'!F11</f>
        <v>25.497382198952881</v>
      </c>
    </row>
    <row r="12" spans="1:20" ht="15" customHeight="1" x14ac:dyDescent="0.2">
      <c r="A12" s="65">
        <v>7</v>
      </c>
      <c r="B12" s="107" t="s">
        <v>61</v>
      </c>
      <c r="C12" s="108">
        <v>21419</v>
      </c>
      <c r="D12" s="108">
        <v>44704</v>
      </c>
      <c r="E12" s="108">
        <f>SCST_OS_22!C12+SCST_OS_22!E12</f>
        <v>6563</v>
      </c>
      <c r="F12" s="108">
        <f>SCST_OS_22!D12+SCST_OS_22!F12</f>
        <v>12539</v>
      </c>
      <c r="G12" s="108">
        <v>58</v>
      </c>
      <c r="H12" s="108">
        <v>63</v>
      </c>
      <c r="I12" s="108">
        <f>Minority_OS_20!O12</f>
        <v>12140</v>
      </c>
      <c r="J12" s="108">
        <f>Minority_OS_20!P12</f>
        <v>31759</v>
      </c>
      <c r="K12" s="108">
        <v>3361</v>
      </c>
      <c r="L12" s="108">
        <v>85</v>
      </c>
      <c r="M12" s="108">
        <v>2602</v>
      </c>
      <c r="N12" s="108">
        <v>255</v>
      </c>
      <c r="O12" s="108">
        <v>29490</v>
      </c>
      <c r="P12" s="108">
        <v>56141</v>
      </c>
      <c r="Q12" s="108">
        <f t="shared" si="0"/>
        <v>75633</v>
      </c>
      <c r="R12" s="108">
        <f t="shared" si="1"/>
        <v>145546</v>
      </c>
      <c r="S12" s="124">
        <f>R12*100/'CD Ratio_3(i)'!F12</f>
        <v>34.979703763876302</v>
      </c>
    </row>
    <row r="13" spans="1:20" s="117" customFormat="1" ht="15" customHeight="1" x14ac:dyDescent="0.2">
      <c r="A13" s="65">
        <v>8</v>
      </c>
      <c r="B13" s="107" t="s">
        <v>62</v>
      </c>
      <c r="C13" s="108">
        <v>149067</v>
      </c>
      <c r="D13" s="108">
        <v>110529</v>
      </c>
      <c r="E13" s="108">
        <f>SCST_OS_22!C13+SCST_OS_22!E13</f>
        <v>113828</v>
      </c>
      <c r="F13" s="108">
        <f>SCST_OS_22!D13+SCST_OS_22!F13</f>
        <v>58826</v>
      </c>
      <c r="G13" s="108">
        <v>6793</v>
      </c>
      <c r="H13" s="108">
        <v>3490</v>
      </c>
      <c r="I13" s="108">
        <f>Minority_OS_20!O13</f>
        <v>25003</v>
      </c>
      <c r="J13" s="108">
        <f>Minority_OS_20!P13</f>
        <v>19776</v>
      </c>
      <c r="K13" s="108">
        <v>3648</v>
      </c>
      <c r="L13" s="108">
        <v>48</v>
      </c>
      <c r="M13" s="108">
        <v>1216</v>
      </c>
      <c r="N13" s="108">
        <v>104</v>
      </c>
      <c r="O13" s="108">
        <v>0</v>
      </c>
      <c r="P13" s="108">
        <v>0</v>
      </c>
      <c r="Q13" s="108">
        <f t="shared" si="0"/>
        <v>299555</v>
      </c>
      <c r="R13" s="108">
        <f t="shared" si="1"/>
        <v>192773</v>
      </c>
      <c r="S13" s="124">
        <f>R13*100/'CD Ratio_3(i)'!F13</f>
        <v>15.616564947247541</v>
      </c>
    </row>
    <row r="14" spans="1:20" ht="15" customHeight="1" x14ac:dyDescent="0.2">
      <c r="A14" s="65">
        <v>9</v>
      </c>
      <c r="B14" s="107" t="s">
        <v>49</v>
      </c>
      <c r="C14" s="108">
        <v>8944</v>
      </c>
      <c r="D14" s="108">
        <v>18978</v>
      </c>
      <c r="E14" s="108">
        <f>SCST_OS_22!C14+SCST_OS_22!E14</f>
        <v>2279</v>
      </c>
      <c r="F14" s="108">
        <f>SCST_OS_22!D14+SCST_OS_22!F14</f>
        <v>4878</v>
      </c>
      <c r="G14" s="108">
        <v>100</v>
      </c>
      <c r="H14" s="108">
        <v>162</v>
      </c>
      <c r="I14" s="108">
        <f>Minority_OS_20!O14</f>
        <v>1778</v>
      </c>
      <c r="J14" s="108">
        <f>Minority_OS_20!P14</f>
        <v>8041</v>
      </c>
      <c r="K14" s="108">
        <v>0</v>
      </c>
      <c r="L14" s="108">
        <v>0</v>
      </c>
      <c r="M14" s="108">
        <v>1</v>
      </c>
      <c r="N14" s="108">
        <v>1</v>
      </c>
      <c r="O14" s="108">
        <v>4907</v>
      </c>
      <c r="P14" s="108">
        <v>17972</v>
      </c>
      <c r="Q14" s="108">
        <f t="shared" si="0"/>
        <v>18009</v>
      </c>
      <c r="R14" s="108">
        <f t="shared" si="1"/>
        <v>50032</v>
      </c>
      <c r="S14" s="124">
        <f>R14*100/'CD Ratio_3(i)'!F14</f>
        <v>15.703260108785376</v>
      </c>
    </row>
    <row r="15" spans="1:20" ht="15" customHeight="1" x14ac:dyDescent="0.2">
      <c r="A15" s="65">
        <v>10</v>
      </c>
      <c r="B15" s="107" t="s">
        <v>50</v>
      </c>
      <c r="C15" s="108">
        <v>7071</v>
      </c>
      <c r="D15" s="108">
        <v>10401</v>
      </c>
      <c r="E15" s="108">
        <f>SCST_OS_22!C15+SCST_OS_22!E15</f>
        <v>4429</v>
      </c>
      <c r="F15" s="108">
        <f>SCST_OS_22!D15+SCST_OS_22!F15</f>
        <v>4654</v>
      </c>
      <c r="G15" s="108">
        <v>84</v>
      </c>
      <c r="H15" s="108">
        <v>77</v>
      </c>
      <c r="I15" s="108">
        <f>Minority_OS_20!O15</f>
        <v>2924</v>
      </c>
      <c r="J15" s="108">
        <f>Minority_OS_20!P15</f>
        <v>7013</v>
      </c>
      <c r="K15" s="108">
        <v>1662</v>
      </c>
      <c r="L15" s="108">
        <v>10</v>
      </c>
      <c r="M15" s="108">
        <v>1</v>
      </c>
      <c r="N15" s="108">
        <v>1</v>
      </c>
      <c r="O15" s="108">
        <v>0</v>
      </c>
      <c r="P15" s="108">
        <v>0</v>
      </c>
      <c r="Q15" s="108">
        <f t="shared" si="0"/>
        <v>16171</v>
      </c>
      <c r="R15" s="108">
        <f t="shared" si="1"/>
        <v>22156</v>
      </c>
      <c r="S15" s="124">
        <f>R15*100/'CD Ratio_3(i)'!F15</f>
        <v>11.436349432195781</v>
      </c>
    </row>
    <row r="16" spans="1:20" ht="15" customHeight="1" x14ac:dyDescent="0.2">
      <c r="A16" s="65">
        <v>11</v>
      </c>
      <c r="B16" s="107" t="s">
        <v>82</v>
      </c>
      <c r="C16" s="108">
        <v>22474</v>
      </c>
      <c r="D16" s="108">
        <v>28632</v>
      </c>
      <c r="E16" s="108">
        <f>SCST_OS_22!C16+SCST_OS_22!E16</f>
        <v>1495</v>
      </c>
      <c r="F16" s="108">
        <f>SCST_OS_22!D16+SCST_OS_22!F16</f>
        <v>3675</v>
      </c>
      <c r="G16" s="108">
        <v>25</v>
      </c>
      <c r="H16" s="108">
        <v>40</v>
      </c>
      <c r="I16" s="108">
        <f>Minority_OS_20!O16</f>
        <v>6665</v>
      </c>
      <c r="J16" s="108">
        <f>Minority_OS_20!P16</f>
        <v>29654.05</v>
      </c>
      <c r="K16" s="108">
        <v>18</v>
      </c>
      <c r="L16" s="108">
        <v>0.5</v>
      </c>
      <c r="M16" s="108">
        <v>0</v>
      </c>
      <c r="N16" s="108">
        <v>0</v>
      </c>
      <c r="O16" s="108">
        <v>14752</v>
      </c>
      <c r="P16" s="108">
        <v>2977</v>
      </c>
      <c r="Q16" s="108">
        <f t="shared" si="0"/>
        <v>45429</v>
      </c>
      <c r="R16" s="108">
        <f t="shared" si="1"/>
        <v>64978.55</v>
      </c>
      <c r="S16" s="124">
        <f>R16*100/'CD Ratio_3(i)'!F16</f>
        <v>17.390823178646656</v>
      </c>
    </row>
    <row r="17" spans="1:19" ht="15" customHeight="1" x14ac:dyDescent="0.2">
      <c r="A17" s="65">
        <v>12</v>
      </c>
      <c r="B17" s="107" t="s">
        <v>63</v>
      </c>
      <c r="C17" s="108">
        <v>722</v>
      </c>
      <c r="D17" s="108">
        <v>984.46</v>
      </c>
      <c r="E17" s="108">
        <f>SCST_OS_22!C17+SCST_OS_22!E17</f>
        <v>1076</v>
      </c>
      <c r="F17" s="108">
        <f>SCST_OS_22!D17+SCST_OS_22!F17</f>
        <v>1389</v>
      </c>
      <c r="G17" s="108">
        <v>536</v>
      </c>
      <c r="H17" s="108">
        <v>719.39</v>
      </c>
      <c r="I17" s="108">
        <f>Minority_OS_20!O17</f>
        <v>171</v>
      </c>
      <c r="J17" s="108">
        <f>Minority_OS_20!P17</f>
        <v>199.19</v>
      </c>
      <c r="K17" s="108">
        <v>176</v>
      </c>
      <c r="L17" s="108">
        <v>4.21</v>
      </c>
      <c r="M17" s="108">
        <v>529</v>
      </c>
      <c r="N17" s="108">
        <v>104.31</v>
      </c>
      <c r="O17" s="108">
        <v>1852</v>
      </c>
      <c r="P17" s="108">
        <v>2272</v>
      </c>
      <c r="Q17" s="108">
        <f t="shared" si="0"/>
        <v>5062</v>
      </c>
      <c r="R17" s="108">
        <f t="shared" si="1"/>
        <v>5672.5599999999995</v>
      </c>
      <c r="S17" s="124">
        <f>R17*100/'CD Ratio_3(i)'!F17</f>
        <v>17.081043840229714</v>
      </c>
    </row>
    <row r="18" spans="1:19" ht="15" customHeight="1" x14ac:dyDescent="0.2">
      <c r="A18" s="65">
        <v>13</v>
      </c>
      <c r="B18" s="107" t="s">
        <v>64</v>
      </c>
      <c r="C18" s="108">
        <v>2237</v>
      </c>
      <c r="D18" s="108">
        <v>4037</v>
      </c>
      <c r="E18" s="108">
        <f>SCST_OS_22!C18+SCST_OS_22!E18</f>
        <v>2095</v>
      </c>
      <c r="F18" s="108">
        <f>SCST_OS_22!D18+SCST_OS_22!F18</f>
        <v>2902</v>
      </c>
      <c r="G18" s="108">
        <v>0</v>
      </c>
      <c r="H18" s="108">
        <v>0</v>
      </c>
      <c r="I18" s="108">
        <f>Minority_OS_20!O18</f>
        <v>561</v>
      </c>
      <c r="J18" s="108">
        <f>Minority_OS_20!P18</f>
        <v>1074.4000000000001</v>
      </c>
      <c r="K18" s="108">
        <v>58</v>
      </c>
      <c r="L18" s="108">
        <v>1.33</v>
      </c>
      <c r="M18" s="108">
        <v>85</v>
      </c>
      <c r="N18" s="108">
        <v>10</v>
      </c>
      <c r="O18" s="108">
        <v>0</v>
      </c>
      <c r="P18" s="108">
        <v>10.510000000000218</v>
      </c>
      <c r="Q18" s="108">
        <f t="shared" si="0"/>
        <v>5036</v>
      </c>
      <c r="R18" s="108">
        <f t="shared" si="1"/>
        <v>8035.24</v>
      </c>
      <c r="S18" s="124">
        <f>R18*100/'CD Ratio_3(i)'!F18</f>
        <v>8.2442312625044885</v>
      </c>
    </row>
    <row r="19" spans="1:19" ht="15" customHeight="1" x14ac:dyDescent="0.2">
      <c r="A19" s="65">
        <v>14</v>
      </c>
      <c r="B19" s="111" t="s">
        <v>208</v>
      </c>
      <c r="C19" s="108">
        <v>8665</v>
      </c>
      <c r="D19" s="108">
        <v>17361.77</v>
      </c>
      <c r="E19" s="108">
        <f>SCST_OS_22!C19+SCST_OS_22!E19</f>
        <v>4952</v>
      </c>
      <c r="F19" s="108">
        <f>SCST_OS_22!D19+SCST_OS_22!F19</f>
        <v>8259.74</v>
      </c>
      <c r="G19" s="108">
        <v>51</v>
      </c>
      <c r="H19" s="108">
        <v>56.74</v>
      </c>
      <c r="I19" s="108">
        <f>Minority_OS_20!O19</f>
        <v>1965</v>
      </c>
      <c r="J19" s="108">
        <f>Minority_OS_20!P19</f>
        <v>5914.6800000000012</v>
      </c>
      <c r="K19" s="108">
        <v>335</v>
      </c>
      <c r="L19" s="108">
        <v>2.69</v>
      </c>
      <c r="M19" s="108">
        <v>16</v>
      </c>
      <c r="N19" s="108">
        <v>0.66</v>
      </c>
      <c r="O19" s="108">
        <v>342</v>
      </c>
      <c r="P19" s="108">
        <v>5890.03</v>
      </c>
      <c r="Q19" s="108">
        <f t="shared" si="0"/>
        <v>16326</v>
      </c>
      <c r="R19" s="108">
        <f t="shared" si="1"/>
        <v>37486.310000000005</v>
      </c>
      <c r="S19" s="124">
        <f>R19*100/'CD Ratio_3(i)'!F19</f>
        <v>18.040825657166511</v>
      </c>
    </row>
    <row r="20" spans="1:19" ht="15" customHeight="1" x14ac:dyDescent="0.2">
      <c r="A20" s="65">
        <v>15</v>
      </c>
      <c r="B20" s="107" t="s">
        <v>209</v>
      </c>
      <c r="C20" s="108">
        <v>4579</v>
      </c>
      <c r="D20" s="108">
        <v>6566</v>
      </c>
      <c r="E20" s="108">
        <f>SCST_OS_22!C20+SCST_OS_22!E20</f>
        <v>447</v>
      </c>
      <c r="F20" s="108">
        <f>SCST_OS_22!D20+SCST_OS_22!F20</f>
        <v>370</v>
      </c>
      <c r="G20" s="108">
        <v>22</v>
      </c>
      <c r="H20" s="108">
        <v>22.08</v>
      </c>
      <c r="I20" s="108">
        <f>Minority_OS_20!O20</f>
        <v>2980</v>
      </c>
      <c r="J20" s="108">
        <f>Minority_OS_20!P20</f>
        <v>9513</v>
      </c>
      <c r="K20" s="108">
        <v>2237</v>
      </c>
      <c r="L20" s="108">
        <v>37.51</v>
      </c>
      <c r="M20" s="108">
        <v>25</v>
      </c>
      <c r="N20" s="108">
        <v>192</v>
      </c>
      <c r="O20" s="108">
        <v>0</v>
      </c>
      <c r="P20" s="108">
        <v>0</v>
      </c>
      <c r="Q20" s="108">
        <f t="shared" si="0"/>
        <v>10290</v>
      </c>
      <c r="R20" s="108">
        <f t="shared" si="1"/>
        <v>16700.59</v>
      </c>
      <c r="S20" s="124">
        <f>R20*100/'CD Ratio_3(i)'!F20</f>
        <v>25.572434807907268</v>
      </c>
    </row>
    <row r="21" spans="1:19" ht="15" customHeight="1" x14ac:dyDescent="0.2">
      <c r="A21" s="65">
        <v>16</v>
      </c>
      <c r="B21" s="107" t="s">
        <v>65</v>
      </c>
      <c r="C21" s="108">
        <v>111282</v>
      </c>
      <c r="D21" s="108">
        <v>121245</v>
      </c>
      <c r="E21" s="108">
        <f>SCST_OS_22!C21+SCST_OS_22!E21</f>
        <v>27442</v>
      </c>
      <c r="F21" s="108">
        <f>SCST_OS_22!D21+SCST_OS_22!F21</f>
        <v>30970</v>
      </c>
      <c r="G21" s="108">
        <v>3180</v>
      </c>
      <c r="H21" s="108">
        <v>3081.42</v>
      </c>
      <c r="I21" s="108">
        <f>Minority_OS_20!O21</f>
        <v>9537</v>
      </c>
      <c r="J21" s="108">
        <f>Minority_OS_20!P21</f>
        <v>38189</v>
      </c>
      <c r="K21" s="108">
        <v>776</v>
      </c>
      <c r="L21" s="108">
        <v>8.3000000000000007</v>
      </c>
      <c r="M21" s="108">
        <v>454</v>
      </c>
      <c r="N21" s="108">
        <v>39</v>
      </c>
      <c r="O21" s="108">
        <v>4576</v>
      </c>
      <c r="P21" s="108">
        <v>5778</v>
      </c>
      <c r="Q21" s="108">
        <f t="shared" si="0"/>
        <v>157247</v>
      </c>
      <c r="R21" s="108">
        <f t="shared" si="1"/>
        <v>199310.72</v>
      </c>
      <c r="S21" s="124">
        <f>R21*100/'CD Ratio_3(i)'!F21</f>
        <v>14.945752012843807</v>
      </c>
    </row>
    <row r="22" spans="1:19" ht="15" customHeight="1" x14ac:dyDescent="0.2">
      <c r="A22" s="65">
        <v>17</v>
      </c>
      <c r="B22" s="112" t="s">
        <v>70</v>
      </c>
      <c r="C22" s="108">
        <v>0</v>
      </c>
      <c r="D22" s="108">
        <v>0</v>
      </c>
      <c r="E22" s="108">
        <f>SCST_OS_22!C22+SCST_OS_22!E22</f>
        <v>81</v>
      </c>
      <c r="F22" s="108">
        <f>SCST_OS_22!D22+SCST_OS_22!F22</f>
        <v>137.77000000000001</v>
      </c>
      <c r="G22" s="108">
        <v>0</v>
      </c>
      <c r="H22" s="108">
        <v>0</v>
      </c>
      <c r="I22" s="108">
        <f>Minority_OS_20!O22</f>
        <v>80</v>
      </c>
      <c r="J22" s="108">
        <f>Minority_OS_20!P22</f>
        <v>353.25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f t="shared" si="0"/>
        <v>161</v>
      </c>
      <c r="R22" s="108">
        <f t="shared" si="1"/>
        <v>491.02</v>
      </c>
      <c r="S22" s="124">
        <f>R22*100/'CD Ratio_3(i)'!F22</f>
        <v>1.4366971940193698</v>
      </c>
    </row>
    <row r="23" spans="1:19" ht="15" customHeight="1" x14ac:dyDescent="0.2">
      <c r="A23" s="65">
        <v>18</v>
      </c>
      <c r="B23" s="107" t="s">
        <v>210</v>
      </c>
      <c r="C23" s="108">
        <v>0</v>
      </c>
      <c r="D23" s="108">
        <v>0</v>
      </c>
      <c r="E23" s="108">
        <f>SCST_OS_22!C23+SCST_OS_22!E23</f>
        <v>0</v>
      </c>
      <c r="F23" s="108">
        <f>SCST_OS_22!D23+SCST_OS_22!F23</f>
        <v>0</v>
      </c>
      <c r="G23" s="108">
        <v>0</v>
      </c>
      <c r="H23" s="108">
        <v>0</v>
      </c>
      <c r="I23" s="108">
        <f>Minority_OS_20!O23</f>
        <v>0</v>
      </c>
      <c r="J23" s="108">
        <f>Minority_OS_20!P23</f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f t="shared" si="0"/>
        <v>0</v>
      </c>
      <c r="R23" s="108">
        <f t="shared" si="1"/>
        <v>0</v>
      </c>
      <c r="S23" s="124">
        <f>R23*100/'CD Ratio_3(i)'!F23</f>
        <v>0</v>
      </c>
    </row>
    <row r="24" spans="1:19" ht="15" customHeight="1" x14ac:dyDescent="0.2">
      <c r="A24" s="65">
        <v>19</v>
      </c>
      <c r="B24" s="113" t="s">
        <v>211</v>
      </c>
      <c r="C24" s="108">
        <v>0</v>
      </c>
      <c r="D24" s="108">
        <v>0</v>
      </c>
      <c r="E24" s="108">
        <f>SCST_OS_22!C24+SCST_OS_22!E24</f>
        <v>173</v>
      </c>
      <c r="F24" s="108">
        <f>SCST_OS_22!D24+SCST_OS_22!F24</f>
        <v>664.31999999999994</v>
      </c>
      <c r="G24" s="108">
        <v>0</v>
      </c>
      <c r="H24" s="108">
        <v>0</v>
      </c>
      <c r="I24" s="108">
        <f>Minority_OS_20!O24</f>
        <v>112</v>
      </c>
      <c r="J24" s="108">
        <f>Minority_OS_20!P24</f>
        <v>473</v>
      </c>
      <c r="K24" s="108">
        <v>18</v>
      </c>
      <c r="L24" s="108">
        <v>0.33</v>
      </c>
      <c r="M24" s="108">
        <v>0</v>
      </c>
      <c r="N24" s="108">
        <v>0</v>
      </c>
      <c r="O24" s="108">
        <v>92</v>
      </c>
      <c r="P24" s="108">
        <v>170.4</v>
      </c>
      <c r="Q24" s="108">
        <f t="shared" si="0"/>
        <v>395</v>
      </c>
      <c r="R24" s="108">
        <f t="shared" si="1"/>
        <v>1308.05</v>
      </c>
      <c r="S24" s="124">
        <f>R24*100/'CD Ratio_3(i)'!F24</f>
        <v>1.2275359190683095</v>
      </c>
    </row>
    <row r="25" spans="1:19" ht="15" customHeight="1" x14ac:dyDescent="0.2">
      <c r="A25" s="65">
        <v>20</v>
      </c>
      <c r="B25" s="107" t="s">
        <v>212</v>
      </c>
      <c r="C25" s="108">
        <v>0</v>
      </c>
      <c r="D25" s="108">
        <v>0</v>
      </c>
      <c r="E25" s="108">
        <f>SCST_OS_22!C25+SCST_OS_22!E25</f>
        <v>37</v>
      </c>
      <c r="F25" s="108">
        <f>SCST_OS_22!D25+SCST_OS_22!F25</f>
        <v>1452</v>
      </c>
      <c r="G25" s="108">
        <v>0</v>
      </c>
      <c r="H25" s="108">
        <v>0</v>
      </c>
      <c r="I25" s="108">
        <f>Minority_OS_20!O25</f>
        <v>42</v>
      </c>
      <c r="J25" s="108">
        <f>Minority_OS_20!P25</f>
        <v>1163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f t="shared" si="0"/>
        <v>79</v>
      </c>
      <c r="R25" s="108">
        <f t="shared" si="1"/>
        <v>2615</v>
      </c>
      <c r="S25" s="124">
        <f>R25*100/'CD Ratio_3(i)'!F25</f>
        <v>5.6647098325498773</v>
      </c>
    </row>
    <row r="26" spans="1:19" ht="15" customHeight="1" x14ac:dyDescent="0.2">
      <c r="A26" s="65">
        <v>21</v>
      </c>
      <c r="B26" s="107" t="s">
        <v>213</v>
      </c>
      <c r="C26" s="108">
        <v>0</v>
      </c>
      <c r="D26" s="108">
        <v>0</v>
      </c>
      <c r="E26" s="108">
        <f>SCST_OS_22!C26+SCST_OS_22!E26</f>
        <v>0</v>
      </c>
      <c r="F26" s="108">
        <f>SCST_OS_22!D26+SCST_OS_22!F26</f>
        <v>0</v>
      </c>
      <c r="G26" s="108">
        <v>0</v>
      </c>
      <c r="H26" s="108">
        <v>0</v>
      </c>
      <c r="I26" s="108">
        <f>Minority_OS_20!O26</f>
        <v>0</v>
      </c>
      <c r="J26" s="108">
        <f>Minority_OS_20!P26</f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f t="shared" si="0"/>
        <v>0</v>
      </c>
      <c r="R26" s="108">
        <f t="shared" si="1"/>
        <v>0</v>
      </c>
      <c r="S26" s="124">
        <f>R26*100/'CD Ratio_3(i)'!F26</f>
        <v>0</v>
      </c>
    </row>
    <row r="27" spans="1:19" ht="15" customHeight="1" x14ac:dyDescent="0.2">
      <c r="A27" s="65">
        <v>22</v>
      </c>
      <c r="B27" s="107" t="s">
        <v>71</v>
      </c>
      <c r="C27" s="108">
        <v>328855</v>
      </c>
      <c r="D27" s="108">
        <v>382942</v>
      </c>
      <c r="E27" s="108">
        <f>SCST_OS_22!C27+SCST_OS_22!E27</f>
        <v>95648</v>
      </c>
      <c r="F27" s="108">
        <f>SCST_OS_22!D27+SCST_OS_22!F27</f>
        <v>185078</v>
      </c>
      <c r="G27" s="108">
        <v>4902</v>
      </c>
      <c r="H27" s="108">
        <v>3626</v>
      </c>
      <c r="I27" s="108">
        <f>Minority_OS_20!O27</f>
        <v>108261</v>
      </c>
      <c r="J27" s="108">
        <f>Minority_OS_20!P27</f>
        <v>179614</v>
      </c>
      <c r="K27" s="108">
        <v>116471</v>
      </c>
      <c r="L27" s="108">
        <v>67342</v>
      </c>
      <c r="M27" s="108">
        <v>341</v>
      </c>
      <c r="N27" s="108">
        <v>43</v>
      </c>
      <c r="O27" s="108">
        <v>14048</v>
      </c>
      <c r="P27" s="108">
        <v>21421</v>
      </c>
      <c r="Q27" s="108">
        <f t="shared" si="0"/>
        <v>668526</v>
      </c>
      <c r="R27" s="108">
        <f t="shared" si="1"/>
        <v>840066</v>
      </c>
      <c r="S27" s="124">
        <f>R27*100/'CD Ratio_3(i)'!F27</f>
        <v>14.414448731834074</v>
      </c>
    </row>
    <row r="28" spans="1:19" ht="15" customHeight="1" x14ac:dyDescent="0.2">
      <c r="A28" s="65">
        <v>23</v>
      </c>
      <c r="B28" s="107" t="s">
        <v>66</v>
      </c>
      <c r="C28" s="108">
        <v>5671</v>
      </c>
      <c r="D28" s="108">
        <v>7203</v>
      </c>
      <c r="E28" s="108">
        <f>SCST_OS_22!C28+SCST_OS_22!E28</f>
        <v>3302</v>
      </c>
      <c r="F28" s="108">
        <f>SCST_OS_22!D28+SCST_OS_22!F28</f>
        <v>4382</v>
      </c>
      <c r="G28" s="108">
        <v>133</v>
      </c>
      <c r="H28" s="108">
        <v>104</v>
      </c>
      <c r="I28" s="108">
        <f>Minority_OS_20!O28</f>
        <v>2734</v>
      </c>
      <c r="J28" s="108">
        <f>Minority_OS_20!P28</f>
        <v>7673</v>
      </c>
      <c r="K28" s="108">
        <v>465</v>
      </c>
      <c r="L28" s="108">
        <v>0.3</v>
      </c>
      <c r="M28" s="108">
        <v>22</v>
      </c>
      <c r="N28" s="108">
        <v>3</v>
      </c>
      <c r="O28" s="108">
        <v>197</v>
      </c>
      <c r="P28" s="108">
        <v>43.14</v>
      </c>
      <c r="Q28" s="108">
        <f t="shared" si="0"/>
        <v>12524</v>
      </c>
      <c r="R28" s="108">
        <f t="shared" si="1"/>
        <v>19408.439999999999</v>
      </c>
      <c r="S28" s="124">
        <f>R28*100/'CD Ratio_3(i)'!F28</f>
        <v>13.14049311480311</v>
      </c>
    </row>
    <row r="29" spans="1:19" ht="15" customHeight="1" x14ac:dyDescent="0.2">
      <c r="A29" s="65">
        <v>24</v>
      </c>
      <c r="B29" s="107" t="s">
        <v>214</v>
      </c>
      <c r="C29" s="108">
        <v>30734</v>
      </c>
      <c r="D29" s="108">
        <v>14840</v>
      </c>
      <c r="E29" s="108">
        <f>SCST_OS_22!C29+SCST_OS_22!E29</f>
        <v>22530</v>
      </c>
      <c r="F29" s="108">
        <f>SCST_OS_22!D29+SCST_OS_22!F29</f>
        <v>17438</v>
      </c>
      <c r="G29" s="108">
        <v>915</v>
      </c>
      <c r="H29" s="108">
        <v>3974</v>
      </c>
      <c r="I29" s="108">
        <f>Minority_OS_20!O29</f>
        <v>24913</v>
      </c>
      <c r="J29" s="108">
        <f>Minority_OS_20!P29</f>
        <v>19507</v>
      </c>
      <c r="K29" s="108">
        <v>220</v>
      </c>
      <c r="L29" s="108">
        <v>9</v>
      </c>
      <c r="M29" s="108">
        <v>702</v>
      </c>
      <c r="N29" s="108">
        <v>71</v>
      </c>
      <c r="O29" s="108">
        <v>5612</v>
      </c>
      <c r="P29" s="108">
        <v>516</v>
      </c>
      <c r="Q29" s="108">
        <f t="shared" si="0"/>
        <v>85626</v>
      </c>
      <c r="R29" s="108">
        <f t="shared" si="1"/>
        <v>56355</v>
      </c>
      <c r="S29" s="124">
        <f>R29*100/'CD Ratio_3(i)'!F29</f>
        <v>12.746021626372004</v>
      </c>
    </row>
    <row r="30" spans="1:19" ht="15" customHeight="1" x14ac:dyDescent="0.2">
      <c r="A30" s="65">
        <v>25</v>
      </c>
      <c r="B30" s="107" t="s">
        <v>67</v>
      </c>
      <c r="C30" s="108">
        <v>79295</v>
      </c>
      <c r="D30" s="108">
        <v>129300.3</v>
      </c>
      <c r="E30" s="108">
        <f>SCST_OS_22!C30+SCST_OS_22!E30</f>
        <v>34071</v>
      </c>
      <c r="F30" s="108">
        <f>SCST_OS_22!D30+SCST_OS_22!F30</f>
        <v>38134</v>
      </c>
      <c r="G30" s="108">
        <v>4212</v>
      </c>
      <c r="H30" s="108">
        <v>2972.21</v>
      </c>
      <c r="I30" s="108">
        <f>Minority_OS_20!O30</f>
        <v>10773</v>
      </c>
      <c r="J30" s="108">
        <f>Minority_OS_20!P30</f>
        <v>38929.979999999996</v>
      </c>
      <c r="K30" s="108">
        <v>3107</v>
      </c>
      <c r="L30" s="108">
        <v>17.690000000000001</v>
      </c>
      <c r="M30" s="108">
        <v>354</v>
      </c>
      <c r="N30" s="108">
        <v>50.65</v>
      </c>
      <c r="O30" s="108">
        <v>0</v>
      </c>
      <c r="P30" s="108">
        <v>57069.77</v>
      </c>
      <c r="Q30" s="108">
        <f t="shared" si="0"/>
        <v>131812</v>
      </c>
      <c r="R30" s="108">
        <f t="shared" si="1"/>
        <v>266474.59999999998</v>
      </c>
      <c r="S30" s="124">
        <f>R30*100/'CD Ratio_3(i)'!F30</f>
        <v>31.611109048317644</v>
      </c>
    </row>
    <row r="31" spans="1:19" ht="15" customHeight="1" x14ac:dyDescent="0.2">
      <c r="A31" s="65">
        <v>26</v>
      </c>
      <c r="B31" s="110" t="s">
        <v>68</v>
      </c>
      <c r="C31" s="108">
        <v>19</v>
      </c>
      <c r="D31" s="108">
        <v>532</v>
      </c>
      <c r="E31" s="108">
        <f>SCST_OS_22!C31+SCST_OS_22!E31</f>
        <v>241</v>
      </c>
      <c r="F31" s="108">
        <f>SCST_OS_22!D31+SCST_OS_22!F31</f>
        <v>2380</v>
      </c>
      <c r="G31" s="108">
        <v>0</v>
      </c>
      <c r="H31" s="108">
        <v>0</v>
      </c>
      <c r="I31" s="108">
        <f>Minority_OS_20!O31</f>
        <v>150</v>
      </c>
      <c r="J31" s="108">
        <f>Minority_OS_20!P31</f>
        <v>538</v>
      </c>
      <c r="K31" s="108">
        <v>0</v>
      </c>
      <c r="L31" s="108">
        <v>0</v>
      </c>
      <c r="M31" s="108">
        <v>1</v>
      </c>
      <c r="N31" s="108">
        <v>1</v>
      </c>
      <c r="O31" s="108">
        <v>30</v>
      </c>
      <c r="P31" s="108">
        <v>248</v>
      </c>
      <c r="Q31" s="108">
        <f t="shared" si="0"/>
        <v>441</v>
      </c>
      <c r="R31" s="108">
        <f t="shared" si="1"/>
        <v>3699</v>
      </c>
      <c r="S31" s="124">
        <f>R31*100/'CD Ratio_3(i)'!F31</f>
        <v>14.25763182238668</v>
      </c>
    </row>
    <row r="32" spans="1:19" ht="15" customHeight="1" x14ac:dyDescent="0.2">
      <c r="A32" s="65">
        <v>27</v>
      </c>
      <c r="B32" s="107" t="s">
        <v>51</v>
      </c>
      <c r="C32" s="108">
        <v>7266</v>
      </c>
      <c r="D32" s="108">
        <v>11815</v>
      </c>
      <c r="E32" s="108">
        <f>SCST_OS_22!C32+SCST_OS_22!E32</f>
        <v>831</v>
      </c>
      <c r="F32" s="108">
        <f>SCST_OS_22!D32+SCST_OS_22!F32</f>
        <v>1463.03</v>
      </c>
      <c r="G32" s="108">
        <v>28</v>
      </c>
      <c r="H32" s="108">
        <v>16.03</v>
      </c>
      <c r="I32" s="108">
        <f>Minority_OS_20!O32</f>
        <v>1741</v>
      </c>
      <c r="J32" s="108">
        <f>Minority_OS_20!P32</f>
        <v>7361.72</v>
      </c>
      <c r="K32" s="108">
        <v>91</v>
      </c>
      <c r="L32" s="108">
        <v>0.36</v>
      </c>
      <c r="M32" s="108">
        <v>21</v>
      </c>
      <c r="N32" s="108">
        <v>3.06</v>
      </c>
      <c r="O32" s="108">
        <v>30</v>
      </c>
      <c r="P32" s="108">
        <v>7.55</v>
      </c>
      <c r="Q32" s="108">
        <f t="shared" si="0"/>
        <v>10008</v>
      </c>
      <c r="R32" s="108">
        <f t="shared" si="1"/>
        <v>20666.750000000004</v>
      </c>
      <c r="S32" s="124">
        <f>R32*100/'CD Ratio_3(i)'!F32</f>
        <v>26.571801432300042</v>
      </c>
    </row>
    <row r="33" spans="1:19" s="117" customFormat="1" ht="15" customHeight="1" x14ac:dyDescent="0.2">
      <c r="A33" s="276"/>
      <c r="B33" s="114" t="s">
        <v>407</v>
      </c>
      <c r="C33" s="115">
        <f>SUM(C6:C32)</f>
        <v>1217983</v>
      </c>
      <c r="D33" s="115">
        <f t="shared" ref="D33:R33" si="2">SUM(D6:D32)</f>
        <v>1606707.95</v>
      </c>
      <c r="E33" s="115">
        <f>SCST_OS_22!C33+SCST_OS_22!E33</f>
        <v>680555</v>
      </c>
      <c r="F33" s="115">
        <f>SCST_OS_22!D33+SCST_OS_22!F33</f>
        <v>1019324.3500000001</v>
      </c>
      <c r="G33" s="115">
        <f t="shared" si="2"/>
        <v>26341</v>
      </c>
      <c r="H33" s="115">
        <f t="shared" si="2"/>
        <v>23173.67</v>
      </c>
      <c r="I33" s="115">
        <f>Minority_OS_20!O33</f>
        <v>267691</v>
      </c>
      <c r="J33" s="115">
        <f>Minority_OS_20!P33</f>
        <v>623889.18999999994</v>
      </c>
      <c r="K33" s="115">
        <f t="shared" si="2"/>
        <v>147785</v>
      </c>
      <c r="L33" s="115">
        <f t="shared" si="2"/>
        <v>68128.86</v>
      </c>
      <c r="M33" s="115">
        <f t="shared" si="2"/>
        <v>6782</v>
      </c>
      <c r="N33" s="115">
        <f t="shared" si="2"/>
        <v>1301.29</v>
      </c>
      <c r="O33" s="115">
        <f t="shared" si="2"/>
        <v>79452</v>
      </c>
      <c r="P33" s="115">
        <f t="shared" si="2"/>
        <v>177998.89999999997</v>
      </c>
      <c r="Q33" s="115">
        <f t="shared" si="2"/>
        <v>2426589</v>
      </c>
      <c r="R33" s="115">
        <f t="shared" si="2"/>
        <v>3520524.21</v>
      </c>
      <c r="S33" s="125">
        <f>R33*100/'CD Ratio_3(i)'!F33</f>
        <v>22.878412050187897</v>
      </c>
    </row>
    <row r="34" spans="1:19" ht="15" customHeight="1" x14ac:dyDescent="0.2">
      <c r="A34" s="65">
        <v>28</v>
      </c>
      <c r="B34" s="107" t="s">
        <v>48</v>
      </c>
      <c r="C34" s="108">
        <v>36743</v>
      </c>
      <c r="D34" s="108">
        <v>20680.259999999998</v>
      </c>
      <c r="E34" s="108">
        <f>SCST_OS_22!C34+SCST_OS_22!E34</f>
        <v>4215</v>
      </c>
      <c r="F34" s="108">
        <f>SCST_OS_22!D34+SCST_OS_22!F34</f>
        <v>3519.83</v>
      </c>
      <c r="G34" s="108">
        <v>4</v>
      </c>
      <c r="H34" s="108">
        <v>0.89</v>
      </c>
      <c r="I34" s="108">
        <f>Minority_OS_20!O34</f>
        <v>2602</v>
      </c>
      <c r="J34" s="108">
        <f>Minority_OS_20!P34</f>
        <v>7076.9000000000005</v>
      </c>
      <c r="K34" s="108">
        <v>0</v>
      </c>
      <c r="L34" s="108">
        <v>0</v>
      </c>
      <c r="M34" s="108">
        <v>0</v>
      </c>
      <c r="N34" s="108">
        <v>0</v>
      </c>
      <c r="O34" s="108">
        <v>18</v>
      </c>
      <c r="P34" s="108">
        <v>506.11</v>
      </c>
      <c r="Q34" s="108">
        <f t="shared" si="0"/>
        <v>43582</v>
      </c>
      <c r="R34" s="108">
        <f t="shared" si="1"/>
        <v>31783.989999999998</v>
      </c>
      <c r="S34" s="124">
        <f>R34*100/'CD Ratio_3(i)'!F34</f>
        <v>5.3666267135612911</v>
      </c>
    </row>
    <row r="35" spans="1:19" ht="15" customHeight="1" x14ac:dyDescent="0.2">
      <c r="A35" s="65">
        <v>29</v>
      </c>
      <c r="B35" s="107" t="s">
        <v>216</v>
      </c>
      <c r="C35" s="108">
        <v>0</v>
      </c>
      <c r="D35" s="108">
        <v>0</v>
      </c>
      <c r="E35" s="108">
        <f>SCST_OS_22!C35+SCST_OS_22!E35</f>
        <v>0</v>
      </c>
      <c r="F35" s="108">
        <f>SCST_OS_22!D35+SCST_OS_22!F35</f>
        <v>0</v>
      </c>
      <c r="G35" s="108">
        <v>0</v>
      </c>
      <c r="H35" s="108">
        <v>0</v>
      </c>
      <c r="I35" s="108">
        <f>Minority_OS_20!O35</f>
        <v>0</v>
      </c>
      <c r="J35" s="108">
        <f>Minority_OS_20!P35</f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f t="shared" si="0"/>
        <v>0</v>
      </c>
      <c r="R35" s="108">
        <f t="shared" si="1"/>
        <v>0</v>
      </c>
      <c r="S35" s="124">
        <f>R35*100/'CD Ratio_3(i)'!F35</f>
        <v>0</v>
      </c>
    </row>
    <row r="36" spans="1:19" ht="15" customHeight="1" x14ac:dyDescent="0.2">
      <c r="A36" s="65">
        <v>30</v>
      </c>
      <c r="B36" s="107" t="s">
        <v>217</v>
      </c>
      <c r="C36" s="108">
        <v>0</v>
      </c>
      <c r="D36" s="108">
        <v>0</v>
      </c>
      <c r="E36" s="108">
        <f>SCST_OS_22!C36+SCST_OS_22!E36</f>
        <v>0</v>
      </c>
      <c r="F36" s="108">
        <f>SCST_OS_22!D36+SCST_OS_22!F36</f>
        <v>0</v>
      </c>
      <c r="G36" s="108">
        <v>0</v>
      </c>
      <c r="H36" s="108">
        <v>0</v>
      </c>
      <c r="I36" s="108">
        <f>Minority_OS_20!O36</f>
        <v>0</v>
      </c>
      <c r="J36" s="108">
        <f>Minority_OS_20!P36</f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f t="shared" si="0"/>
        <v>0</v>
      </c>
      <c r="R36" s="108">
        <f t="shared" si="1"/>
        <v>0</v>
      </c>
      <c r="S36" s="124">
        <f>R36*100/'CD Ratio_3(i)'!F36</f>
        <v>0</v>
      </c>
    </row>
    <row r="37" spans="1:19" ht="15" customHeight="1" x14ac:dyDescent="0.2">
      <c r="A37" s="65">
        <v>31</v>
      </c>
      <c r="B37" s="107" t="s">
        <v>79</v>
      </c>
      <c r="C37" s="108">
        <v>0</v>
      </c>
      <c r="D37" s="108">
        <v>0</v>
      </c>
      <c r="E37" s="108">
        <f>SCST_OS_22!C37+SCST_OS_22!E37</f>
        <v>0</v>
      </c>
      <c r="F37" s="108">
        <f>SCST_OS_22!D37+SCST_OS_22!F37</f>
        <v>0</v>
      </c>
      <c r="G37" s="108">
        <v>0</v>
      </c>
      <c r="H37" s="108">
        <v>0</v>
      </c>
      <c r="I37" s="108">
        <f>Minority_OS_20!O37</f>
        <v>0</v>
      </c>
      <c r="J37" s="108">
        <f>Minority_OS_20!P37</f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f t="shared" si="0"/>
        <v>0</v>
      </c>
      <c r="R37" s="108">
        <f t="shared" si="1"/>
        <v>0</v>
      </c>
      <c r="S37" s="124">
        <f>R37*100/'CD Ratio_3(i)'!F37</f>
        <v>0</v>
      </c>
    </row>
    <row r="38" spans="1:19" ht="15" customHeight="1" x14ac:dyDescent="0.2">
      <c r="A38" s="65">
        <v>32</v>
      </c>
      <c r="B38" s="107" t="s">
        <v>52</v>
      </c>
      <c r="C38" s="108">
        <v>0</v>
      </c>
      <c r="D38" s="108">
        <v>0</v>
      </c>
      <c r="E38" s="108">
        <f>SCST_OS_22!C38+SCST_OS_22!E38</f>
        <v>0</v>
      </c>
      <c r="F38" s="108">
        <f>SCST_OS_22!D38+SCST_OS_22!F38</f>
        <v>0</v>
      </c>
      <c r="G38" s="108">
        <v>0</v>
      </c>
      <c r="H38" s="108">
        <v>0</v>
      </c>
      <c r="I38" s="108">
        <f>Minority_OS_20!O38</f>
        <v>0</v>
      </c>
      <c r="J38" s="108">
        <f>Minority_OS_20!P38</f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f t="shared" si="0"/>
        <v>0</v>
      </c>
      <c r="R38" s="108">
        <f t="shared" si="1"/>
        <v>0</v>
      </c>
      <c r="S38" s="124">
        <f>R38*100/'CD Ratio_3(i)'!F38</f>
        <v>0</v>
      </c>
    </row>
    <row r="39" spans="1:19" ht="15" customHeight="1" x14ac:dyDescent="0.2">
      <c r="A39" s="65">
        <v>33</v>
      </c>
      <c r="B39" s="107" t="s">
        <v>218</v>
      </c>
      <c r="C39" s="108">
        <v>0</v>
      </c>
      <c r="D39" s="108">
        <v>0</v>
      </c>
      <c r="E39" s="108">
        <f>SCST_OS_22!C39+SCST_OS_22!E39</f>
        <v>0</v>
      </c>
      <c r="F39" s="108">
        <f>SCST_OS_22!D39+SCST_OS_22!F39</f>
        <v>0</v>
      </c>
      <c r="G39" s="108">
        <v>0</v>
      </c>
      <c r="H39" s="108">
        <v>0</v>
      </c>
      <c r="I39" s="108">
        <f>Minority_OS_20!O39</f>
        <v>0</v>
      </c>
      <c r="J39" s="108">
        <f>Minority_OS_20!P39</f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f t="shared" si="0"/>
        <v>0</v>
      </c>
      <c r="R39" s="108">
        <f t="shared" si="1"/>
        <v>0</v>
      </c>
      <c r="S39" s="124">
        <f>R39*100/'CD Ratio_3(i)'!F39</f>
        <v>0</v>
      </c>
    </row>
    <row r="40" spans="1:19" ht="15" customHeight="1" x14ac:dyDescent="0.2">
      <c r="A40" s="65">
        <v>34</v>
      </c>
      <c r="B40" s="107" t="s">
        <v>219</v>
      </c>
      <c r="C40" s="108">
        <v>0</v>
      </c>
      <c r="D40" s="108">
        <v>0</v>
      </c>
      <c r="E40" s="108">
        <f>SCST_OS_22!C40+SCST_OS_22!E40</f>
        <v>0</v>
      </c>
      <c r="F40" s="108">
        <f>SCST_OS_22!D40+SCST_OS_22!F40</f>
        <v>0</v>
      </c>
      <c r="G40" s="108">
        <v>0</v>
      </c>
      <c r="H40" s="108">
        <v>0</v>
      </c>
      <c r="I40" s="108">
        <f>Minority_OS_20!O40</f>
        <v>6</v>
      </c>
      <c r="J40" s="108">
        <f>Minority_OS_20!P40</f>
        <v>6.4</v>
      </c>
      <c r="K40" s="108">
        <v>0</v>
      </c>
      <c r="L40" s="108"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f t="shared" si="0"/>
        <v>6</v>
      </c>
      <c r="R40" s="108">
        <f t="shared" si="1"/>
        <v>6.4</v>
      </c>
      <c r="S40" s="124">
        <f>R40*100/'CD Ratio_3(i)'!F40</f>
        <v>22.947292936536392</v>
      </c>
    </row>
    <row r="41" spans="1:19" ht="15" customHeight="1" x14ac:dyDescent="0.2">
      <c r="A41" s="65">
        <v>35</v>
      </c>
      <c r="B41" s="107" t="s">
        <v>220</v>
      </c>
      <c r="C41" s="108">
        <v>1663</v>
      </c>
      <c r="D41" s="108">
        <v>1915.31</v>
      </c>
      <c r="E41" s="108">
        <f>SCST_OS_22!C41+SCST_OS_22!E41</f>
        <v>40</v>
      </c>
      <c r="F41" s="108">
        <f>SCST_OS_22!D41+SCST_OS_22!F41</f>
        <v>27.82</v>
      </c>
      <c r="G41" s="108">
        <v>0</v>
      </c>
      <c r="H41" s="108">
        <v>0</v>
      </c>
      <c r="I41" s="108">
        <f>Minority_OS_20!O41</f>
        <v>156</v>
      </c>
      <c r="J41" s="108">
        <f>Minority_OS_20!P41</f>
        <v>729.05000000000007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0"/>
        <v>1859</v>
      </c>
      <c r="R41" s="108">
        <f t="shared" si="1"/>
        <v>2672.18</v>
      </c>
      <c r="S41" s="124">
        <f>R41*100/'CD Ratio_3(i)'!F41</f>
        <v>16.423677758663182</v>
      </c>
    </row>
    <row r="42" spans="1:19" ht="15" customHeight="1" x14ac:dyDescent="0.2">
      <c r="A42" s="65">
        <v>36</v>
      </c>
      <c r="B42" s="107" t="s">
        <v>72</v>
      </c>
      <c r="C42" s="108">
        <v>42561</v>
      </c>
      <c r="D42" s="108">
        <v>42318</v>
      </c>
      <c r="E42" s="108">
        <f>SCST_OS_22!C42+SCST_OS_22!E42</f>
        <v>5572</v>
      </c>
      <c r="F42" s="108">
        <f>SCST_OS_22!D42+SCST_OS_22!F42</f>
        <v>15739</v>
      </c>
      <c r="G42" s="108">
        <v>1119</v>
      </c>
      <c r="H42" s="108">
        <v>257</v>
      </c>
      <c r="I42" s="108">
        <f>Minority_OS_20!O42</f>
        <v>19485</v>
      </c>
      <c r="J42" s="108">
        <f>Minority_OS_20!P42</f>
        <v>21343</v>
      </c>
      <c r="K42" s="108">
        <v>4</v>
      </c>
      <c r="L42" s="108">
        <v>0.2</v>
      </c>
      <c r="M42" s="108">
        <v>0</v>
      </c>
      <c r="N42" s="108">
        <v>0</v>
      </c>
      <c r="O42" s="108">
        <v>110626</v>
      </c>
      <c r="P42" s="108">
        <v>15826</v>
      </c>
      <c r="Q42" s="108">
        <f t="shared" si="0"/>
        <v>179367</v>
      </c>
      <c r="R42" s="108">
        <f t="shared" si="1"/>
        <v>95483.199999999997</v>
      </c>
      <c r="S42" s="124">
        <f>R42*100/'CD Ratio_3(i)'!F42</f>
        <v>8.2234342797544766</v>
      </c>
    </row>
    <row r="43" spans="1:19" ht="15" customHeight="1" x14ac:dyDescent="0.2">
      <c r="A43" s="65">
        <v>37</v>
      </c>
      <c r="B43" s="107" t="s">
        <v>73</v>
      </c>
      <c r="C43" s="108">
        <v>0</v>
      </c>
      <c r="D43" s="108">
        <v>0</v>
      </c>
      <c r="E43" s="108">
        <f>SCST_OS_22!C43+SCST_OS_22!E43</f>
        <v>23085</v>
      </c>
      <c r="F43" s="108">
        <f>SCST_OS_22!D43+SCST_OS_22!F43</f>
        <v>27019.58</v>
      </c>
      <c r="G43" s="108">
        <v>5905</v>
      </c>
      <c r="H43" s="108">
        <v>3298.64</v>
      </c>
      <c r="I43" s="108">
        <f>Minority_OS_20!O43</f>
        <v>9209</v>
      </c>
      <c r="J43" s="108">
        <f>Minority_OS_20!P43</f>
        <v>31563.620000000003</v>
      </c>
      <c r="K43" s="108">
        <v>0</v>
      </c>
      <c r="L43" s="108">
        <v>0</v>
      </c>
      <c r="M43" s="108">
        <v>0</v>
      </c>
      <c r="N43" s="108">
        <v>0</v>
      </c>
      <c r="O43" s="108">
        <v>44517</v>
      </c>
      <c r="P43" s="108">
        <v>65361.34</v>
      </c>
      <c r="Q43" s="108">
        <f t="shared" si="0"/>
        <v>82716</v>
      </c>
      <c r="R43" s="108">
        <f t="shared" si="1"/>
        <v>127243.18</v>
      </c>
      <c r="S43" s="124">
        <f>R43*100/'CD Ratio_3(i)'!F43</f>
        <v>12.221430809480129</v>
      </c>
    </row>
    <row r="44" spans="1:19" ht="15" customHeight="1" x14ac:dyDescent="0.2">
      <c r="A44" s="65">
        <v>38</v>
      </c>
      <c r="B44" s="107" t="s">
        <v>221</v>
      </c>
      <c r="C44" s="108">
        <v>0</v>
      </c>
      <c r="D44" s="108">
        <v>0</v>
      </c>
      <c r="E44" s="108">
        <f>SCST_OS_22!C44+SCST_OS_22!E44</f>
        <v>0</v>
      </c>
      <c r="F44" s="108">
        <f>SCST_OS_22!D44+SCST_OS_22!F44</f>
        <v>0</v>
      </c>
      <c r="G44" s="108">
        <v>0</v>
      </c>
      <c r="H44" s="108">
        <v>0</v>
      </c>
      <c r="I44" s="108">
        <f>Minority_OS_20!O44</f>
        <v>0</v>
      </c>
      <c r="J44" s="108">
        <f>Minority_OS_20!P44</f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f t="shared" si="0"/>
        <v>0</v>
      </c>
      <c r="R44" s="108">
        <f t="shared" si="1"/>
        <v>0</v>
      </c>
      <c r="S44" s="124">
        <f>R44*100/'CD Ratio_3(i)'!F44</f>
        <v>0</v>
      </c>
    </row>
    <row r="45" spans="1:19" ht="15" customHeight="1" x14ac:dyDescent="0.2">
      <c r="A45" s="65">
        <v>39</v>
      </c>
      <c r="B45" s="107" t="s">
        <v>222</v>
      </c>
      <c r="C45" s="108">
        <v>0</v>
      </c>
      <c r="D45" s="108">
        <v>0</v>
      </c>
      <c r="E45" s="108">
        <f>SCST_OS_22!C45+SCST_OS_22!E45</f>
        <v>10920</v>
      </c>
      <c r="F45" s="108">
        <f>SCST_OS_22!D45+SCST_OS_22!F45</f>
        <v>7017</v>
      </c>
      <c r="G45" s="108">
        <v>0</v>
      </c>
      <c r="H45" s="108">
        <v>0</v>
      </c>
      <c r="I45" s="108">
        <f>Minority_OS_20!O45</f>
        <v>7028</v>
      </c>
      <c r="J45" s="108">
        <f>Minority_OS_20!P45</f>
        <v>14591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f t="shared" si="0"/>
        <v>17948</v>
      </c>
      <c r="R45" s="108">
        <f t="shared" si="1"/>
        <v>21608</v>
      </c>
      <c r="S45" s="124">
        <f>R45*100/'CD Ratio_3(i)'!F45</f>
        <v>8.6840148698884754</v>
      </c>
    </row>
    <row r="46" spans="1:19" ht="15" customHeight="1" x14ac:dyDescent="0.2">
      <c r="A46" s="65">
        <v>40</v>
      </c>
      <c r="B46" s="107" t="s">
        <v>223</v>
      </c>
      <c r="C46" s="108">
        <v>0</v>
      </c>
      <c r="D46" s="108">
        <v>0</v>
      </c>
      <c r="E46" s="108">
        <f>SCST_OS_22!C46+SCST_OS_22!E46</f>
        <v>0</v>
      </c>
      <c r="F46" s="108">
        <f>SCST_OS_22!D46+SCST_OS_22!F46</f>
        <v>0</v>
      </c>
      <c r="G46" s="108">
        <v>0</v>
      </c>
      <c r="H46" s="108">
        <v>0</v>
      </c>
      <c r="I46" s="108">
        <f>Minority_OS_20!O46</f>
        <v>0</v>
      </c>
      <c r="J46" s="108">
        <f>Minority_OS_20!P46</f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f t="shared" si="0"/>
        <v>0</v>
      </c>
      <c r="R46" s="108">
        <f t="shared" si="1"/>
        <v>0</v>
      </c>
      <c r="S46" s="124">
        <f>R46*100/'CD Ratio_3(i)'!F46</f>
        <v>0</v>
      </c>
    </row>
    <row r="47" spans="1:19" ht="15" customHeight="1" x14ac:dyDescent="0.2">
      <c r="A47" s="65">
        <v>41</v>
      </c>
      <c r="B47" s="107" t="s">
        <v>224</v>
      </c>
      <c r="C47" s="108">
        <v>44</v>
      </c>
      <c r="D47" s="108">
        <v>2671</v>
      </c>
      <c r="E47" s="108">
        <f>SCST_OS_22!C47+SCST_OS_22!E47</f>
        <v>13</v>
      </c>
      <c r="F47" s="108">
        <f>SCST_OS_22!D47+SCST_OS_22!F47</f>
        <v>82.74</v>
      </c>
      <c r="G47" s="108">
        <v>0</v>
      </c>
      <c r="H47" s="108">
        <v>0</v>
      </c>
      <c r="I47" s="108">
        <f>Minority_OS_20!O47</f>
        <v>47</v>
      </c>
      <c r="J47" s="108">
        <f>Minority_OS_20!P47</f>
        <v>421.41999999999996</v>
      </c>
      <c r="K47" s="108">
        <v>180</v>
      </c>
      <c r="L47" s="108">
        <v>2.41</v>
      </c>
      <c r="M47" s="108">
        <v>1</v>
      </c>
      <c r="N47" s="108">
        <v>0.99</v>
      </c>
      <c r="O47" s="108">
        <v>18</v>
      </c>
      <c r="P47" s="108">
        <v>577.5</v>
      </c>
      <c r="Q47" s="108">
        <f t="shared" si="0"/>
        <v>303</v>
      </c>
      <c r="R47" s="108">
        <f t="shared" si="1"/>
        <v>3756.0599999999995</v>
      </c>
      <c r="S47" s="124">
        <f>R47*100/'CD Ratio_3(i)'!F47</f>
        <v>11.236268996051212</v>
      </c>
    </row>
    <row r="48" spans="1:19" ht="15" customHeight="1" x14ac:dyDescent="0.2">
      <c r="A48" s="65">
        <v>42</v>
      </c>
      <c r="B48" s="107" t="s">
        <v>225</v>
      </c>
      <c r="C48" s="108">
        <v>0</v>
      </c>
      <c r="D48" s="108">
        <v>0</v>
      </c>
      <c r="E48" s="108">
        <f>SCST_OS_22!C48+SCST_OS_22!E48</f>
        <v>0</v>
      </c>
      <c r="F48" s="108">
        <f>SCST_OS_22!D48+SCST_OS_22!F48</f>
        <v>0</v>
      </c>
      <c r="G48" s="108">
        <v>0</v>
      </c>
      <c r="H48" s="108">
        <v>0</v>
      </c>
      <c r="I48" s="108">
        <f>Minority_OS_20!O48</f>
        <v>0</v>
      </c>
      <c r="J48" s="108">
        <f>Minority_OS_20!P48</f>
        <v>0</v>
      </c>
      <c r="K48" s="108">
        <v>0</v>
      </c>
      <c r="L48" s="108">
        <v>0</v>
      </c>
      <c r="M48" s="108">
        <v>0</v>
      </c>
      <c r="N48" s="108">
        <v>0</v>
      </c>
      <c r="O48" s="108">
        <v>0</v>
      </c>
      <c r="P48" s="108">
        <v>0</v>
      </c>
      <c r="Q48" s="108">
        <f t="shared" si="0"/>
        <v>0</v>
      </c>
      <c r="R48" s="108">
        <f t="shared" si="1"/>
        <v>0</v>
      </c>
      <c r="S48" s="124">
        <f>R48*100/'CD Ratio_3(i)'!F48</f>
        <v>0</v>
      </c>
    </row>
    <row r="49" spans="1:19" ht="15" customHeight="1" x14ac:dyDescent="0.2">
      <c r="A49" s="65">
        <v>43</v>
      </c>
      <c r="B49" s="116" t="s">
        <v>74</v>
      </c>
      <c r="C49" s="108">
        <v>16887</v>
      </c>
      <c r="D49" s="108">
        <v>26747</v>
      </c>
      <c r="E49" s="108">
        <f>SCST_OS_22!C49+SCST_OS_22!E49</f>
        <v>5144</v>
      </c>
      <c r="F49" s="108">
        <f>SCST_OS_22!D49+SCST_OS_22!F49</f>
        <v>11573.95</v>
      </c>
      <c r="G49" s="108">
        <v>0</v>
      </c>
      <c r="H49" s="108">
        <v>0</v>
      </c>
      <c r="I49" s="108">
        <f>Minority_OS_20!O49</f>
        <v>1881</v>
      </c>
      <c r="J49" s="108">
        <f>Minority_OS_20!P49</f>
        <v>13228</v>
      </c>
      <c r="K49" s="108">
        <v>0</v>
      </c>
      <c r="L49" s="108">
        <v>0</v>
      </c>
      <c r="M49" s="108">
        <v>0</v>
      </c>
      <c r="N49" s="108">
        <v>0</v>
      </c>
      <c r="O49" s="108">
        <v>2930</v>
      </c>
      <c r="P49" s="108">
        <v>15776</v>
      </c>
      <c r="Q49" s="108">
        <f t="shared" si="0"/>
        <v>26842</v>
      </c>
      <c r="R49" s="108">
        <f t="shared" si="1"/>
        <v>67324.95</v>
      </c>
      <c r="S49" s="124">
        <f>R49*100/'CD Ratio_3(i)'!F49</f>
        <v>33.004529700422083</v>
      </c>
    </row>
    <row r="50" spans="1:19" ht="15" customHeight="1" x14ac:dyDescent="0.2">
      <c r="A50" s="65">
        <v>44</v>
      </c>
      <c r="B50" s="107" t="s">
        <v>226</v>
      </c>
      <c r="C50" s="108">
        <v>0</v>
      </c>
      <c r="D50" s="108">
        <v>0</v>
      </c>
      <c r="E50" s="108">
        <f>SCST_OS_22!C50+SCST_OS_22!E50</f>
        <v>1</v>
      </c>
      <c r="F50" s="108">
        <f>SCST_OS_22!D50+SCST_OS_22!F50</f>
        <v>1</v>
      </c>
      <c r="G50" s="108">
        <v>0</v>
      </c>
      <c r="H50" s="108">
        <v>0</v>
      </c>
      <c r="I50" s="108">
        <f>Minority_OS_20!O50</f>
        <v>3</v>
      </c>
      <c r="J50" s="108">
        <f>Minority_OS_20!P50</f>
        <v>10.3</v>
      </c>
      <c r="K50" s="108">
        <v>0</v>
      </c>
      <c r="L50" s="108">
        <v>0</v>
      </c>
      <c r="M50" s="108">
        <v>0</v>
      </c>
      <c r="N50" s="108">
        <v>0</v>
      </c>
      <c r="O50" s="108">
        <v>0</v>
      </c>
      <c r="P50" s="108">
        <v>0</v>
      </c>
      <c r="Q50" s="108">
        <f t="shared" si="0"/>
        <v>4</v>
      </c>
      <c r="R50" s="108">
        <f t="shared" si="1"/>
        <v>11.3</v>
      </c>
      <c r="S50" s="124">
        <f>R50*100/'CD Ratio_3(i)'!F50</f>
        <v>0.26713947990543735</v>
      </c>
    </row>
    <row r="51" spans="1:19" ht="15" customHeight="1" x14ac:dyDescent="0.2">
      <c r="A51" s="65">
        <v>45</v>
      </c>
      <c r="B51" s="107" t="s">
        <v>227</v>
      </c>
      <c r="C51" s="108">
        <v>1916</v>
      </c>
      <c r="D51" s="108">
        <v>2550</v>
      </c>
      <c r="E51" s="108">
        <f>SCST_OS_22!C51+SCST_OS_22!E51</f>
        <v>5772</v>
      </c>
      <c r="F51" s="108">
        <f>SCST_OS_22!D51+SCST_OS_22!F51</f>
        <v>763.77</v>
      </c>
      <c r="G51" s="108">
        <v>0</v>
      </c>
      <c r="H51" s="108">
        <v>0</v>
      </c>
      <c r="I51" s="108">
        <f>Minority_OS_20!O51</f>
        <v>5204</v>
      </c>
      <c r="J51" s="108">
        <f>Minority_OS_20!P51</f>
        <v>599.11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08">
        <v>0</v>
      </c>
      <c r="Q51" s="108">
        <f t="shared" si="0"/>
        <v>12892</v>
      </c>
      <c r="R51" s="108">
        <f t="shared" si="1"/>
        <v>3912.88</v>
      </c>
      <c r="S51" s="124">
        <f>R51*100/'CD Ratio_3(i)'!F51</f>
        <v>4.7673863248696327</v>
      </c>
    </row>
    <row r="52" spans="1:19" ht="15" customHeight="1" x14ac:dyDescent="0.2">
      <c r="A52" s="65">
        <v>46</v>
      </c>
      <c r="B52" s="107" t="s">
        <v>228</v>
      </c>
      <c r="C52" s="108">
        <v>0</v>
      </c>
      <c r="D52" s="108">
        <v>0</v>
      </c>
      <c r="E52" s="108">
        <f>SCST_OS_22!C52+SCST_OS_22!E52</f>
        <v>0</v>
      </c>
      <c r="F52" s="108">
        <f>SCST_OS_22!D52+SCST_OS_22!F52</f>
        <v>0</v>
      </c>
      <c r="G52" s="108">
        <v>0</v>
      </c>
      <c r="H52" s="108">
        <v>0</v>
      </c>
      <c r="I52" s="108">
        <f>Minority_OS_20!O52</f>
        <v>0</v>
      </c>
      <c r="J52" s="108">
        <f>Minority_OS_20!P52</f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108">
        <f t="shared" si="0"/>
        <v>0</v>
      </c>
      <c r="R52" s="108">
        <f t="shared" si="1"/>
        <v>0</v>
      </c>
      <c r="S52" s="124">
        <f>R52*100/'CD Ratio_3(i)'!F52</f>
        <v>0</v>
      </c>
    </row>
    <row r="53" spans="1:19" ht="15" customHeight="1" x14ac:dyDescent="0.2">
      <c r="A53" s="65">
        <v>47</v>
      </c>
      <c r="B53" s="107" t="s">
        <v>78</v>
      </c>
      <c r="C53" s="108">
        <v>0</v>
      </c>
      <c r="D53" s="108">
        <v>0</v>
      </c>
      <c r="E53" s="108">
        <f>SCST_OS_22!C53+SCST_OS_22!E53</f>
        <v>0</v>
      </c>
      <c r="F53" s="108">
        <f>SCST_OS_22!D53+SCST_OS_22!F53</f>
        <v>0</v>
      </c>
      <c r="G53" s="108">
        <v>0</v>
      </c>
      <c r="H53" s="108">
        <v>0</v>
      </c>
      <c r="I53" s="108">
        <f>Minority_OS_20!O53</f>
        <v>0</v>
      </c>
      <c r="J53" s="108">
        <f>Minority_OS_20!P53</f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f t="shared" si="0"/>
        <v>0</v>
      </c>
      <c r="R53" s="108">
        <f t="shared" si="1"/>
        <v>0</v>
      </c>
      <c r="S53" s="124">
        <f>R53*100/'CD Ratio_3(i)'!F53</f>
        <v>0</v>
      </c>
    </row>
    <row r="54" spans="1:19" ht="15" customHeight="1" x14ac:dyDescent="0.2">
      <c r="A54" s="65">
        <v>48</v>
      </c>
      <c r="B54" s="107" t="s">
        <v>229</v>
      </c>
      <c r="C54" s="108">
        <v>0</v>
      </c>
      <c r="D54" s="108">
        <v>0</v>
      </c>
      <c r="E54" s="108">
        <f>SCST_OS_22!C54+SCST_OS_22!E54</f>
        <v>0</v>
      </c>
      <c r="F54" s="108">
        <f>SCST_OS_22!D54+SCST_OS_22!F54</f>
        <v>0</v>
      </c>
      <c r="G54" s="108">
        <v>0</v>
      </c>
      <c r="H54" s="108">
        <v>0</v>
      </c>
      <c r="I54" s="108">
        <f>Minority_OS_20!O54</f>
        <v>0</v>
      </c>
      <c r="J54" s="108">
        <f>Minority_OS_20!P54</f>
        <v>0</v>
      </c>
      <c r="K54" s="108">
        <v>0</v>
      </c>
      <c r="L54" s="108">
        <v>0</v>
      </c>
      <c r="M54" s="108">
        <v>0</v>
      </c>
      <c r="N54" s="108">
        <v>0</v>
      </c>
      <c r="O54" s="108">
        <v>0</v>
      </c>
      <c r="P54" s="108">
        <v>0</v>
      </c>
      <c r="Q54" s="108">
        <f t="shared" si="0"/>
        <v>0</v>
      </c>
      <c r="R54" s="108">
        <f t="shared" si="1"/>
        <v>0</v>
      </c>
      <c r="S54" s="124">
        <f>R54*100/'CD Ratio_3(i)'!F54</f>
        <v>0</v>
      </c>
    </row>
    <row r="55" spans="1:19" ht="15" customHeight="1" x14ac:dyDescent="0.2">
      <c r="A55" s="65">
        <v>49</v>
      </c>
      <c r="B55" s="107" t="s">
        <v>77</v>
      </c>
      <c r="C55" s="108">
        <v>0</v>
      </c>
      <c r="D55" s="108">
        <v>0</v>
      </c>
      <c r="E55" s="108">
        <f>SCST_OS_22!C55+SCST_OS_22!E55</f>
        <v>0</v>
      </c>
      <c r="F55" s="108">
        <f>SCST_OS_22!D55+SCST_OS_22!F55</f>
        <v>0</v>
      </c>
      <c r="G55" s="108">
        <v>0</v>
      </c>
      <c r="H55" s="108">
        <v>0</v>
      </c>
      <c r="I55" s="108">
        <f>Minority_OS_20!O55</f>
        <v>0</v>
      </c>
      <c r="J55" s="108">
        <f>Minority_OS_20!P55</f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17083</v>
      </c>
      <c r="P55" s="108">
        <v>12613</v>
      </c>
      <c r="Q55" s="108">
        <f t="shared" si="0"/>
        <v>17083</v>
      </c>
      <c r="R55" s="108">
        <f t="shared" si="1"/>
        <v>12613</v>
      </c>
      <c r="S55" s="124">
        <f>R55*100/'CD Ratio_3(i)'!F55</f>
        <v>15.979374912900814</v>
      </c>
    </row>
    <row r="56" spans="1:19" ht="15" customHeight="1" x14ac:dyDescent="0.2">
      <c r="A56" s="68"/>
      <c r="B56" s="114" t="s">
        <v>408</v>
      </c>
      <c r="C56" s="115">
        <f>SUM(C34:C55)</f>
        <v>99814</v>
      </c>
      <c r="D56" s="115">
        <f t="shared" ref="D56:R56" si="3">SUM(D34:D55)</f>
        <v>96881.57</v>
      </c>
      <c r="E56" s="115">
        <f>SCST_OS_22!C56+SCST_OS_22!E56</f>
        <v>54762</v>
      </c>
      <c r="F56" s="115">
        <f>SCST_OS_22!D56+SCST_OS_22!F56</f>
        <v>65744.69</v>
      </c>
      <c r="G56" s="115">
        <f t="shared" si="3"/>
        <v>7028</v>
      </c>
      <c r="H56" s="115">
        <f t="shared" si="3"/>
        <v>3556.5299999999997</v>
      </c>
      <c r="I56" s="115">
        <f>Minority_OS_20!O56</f>
        <v>45621</v>
      </c>
      <c r="J56" s="115">
        <f>Minority_OS_20!P56</f>
        <v>89568.8</v>
      </c>
      <c r="K56" s="115">
        <f t="shared" si="3"/>
        <v>184</v>
      </c>
      <c r="L56" s="115">
        <f t="shared" si="3"/>
        <v>2.6100000000000003</v>
      </c>
      <c r="M56" s="115">
        <f t="shared" si="3"/>
        <v>1</v>
      </c>
      <c r="N56" s="115">
        <f t="shared" si="3"/>
        <v>0.99</v>
      </c>
      <c r="O56" s="115">
        <f t="shared" si="3"/>
        <v>175192</v>
      </c>
      <c r="P56" s="115">
        <f t="shared" si="3"/>
        <v>110659.95</v>
      </c>
      <c r="Q56" s="115">
        <f t="shared" si="3"/>
        <v>382602</v>
      </c>
      <c r="R56" s="115">
        <f t="shared" si="3"/>
        <v>366415.13999999996</v>
      </c>
      <c r="S56" s="125">
        <f>R56*100/'CD Ratio_3(i)'!F56</f>
        <v>10.040149980380727</v>
      </c>
    </row>
    <row r="57" spans="1:19" ht="15" customHeight="1" x14ac:dyDescent="0.2">
      <c r="A57" s="65">
        <v>48</v>
      </c>
      <c r="B57" s="66" t="s">
        <v>47</v>
      </c>
      <c r="C57" s="108">
        <v>47388</v>
      </c>
      <c r="D57" s="108">
        <v>66312.34</v>
      </c>
      <c r="E57" s="108">
        <f>SCST_OS_22!C57+SCST_OS_22!E57</f>
        <v>59799</v>
      </c>
      <c r="F57" s="108">
        <f>SCST_OS_22!D57+SCST_OS_22!F57</f>
        <v>56541.369999999995</v>
      </c>
      <c r="G57" s="108">
        <v>7712</v>
      </c>
      <c r="H57" s="108">
        <v>3048.14</v>
      </c>
      <c r="I57" s="108">
        <f>Minority_OS_20!O57</f>
        <v>33081</v>
      </c>
      <c r="J57" s="108">
        <f>Minority_OS_20!P57</f>
        <v>25681.120000000003</v>
      </c>
      <c r="K57" s="108">
        <v>1866</v>
      </c>
      <c r="L57" s="108">
        <v>0.3</v>
      </c>
      <c r="M57" s="108">
        <v>0</v>
      </c>
      <c r="N57" s="108">
        <v>0</v>
      </c>
      <c r="O57" s="108">
        <v>16882</v>
      </c>
      <c r="P57" s="108">
        <v>6061.15</v>
      </c>
      <c r="Q57" s="108">
        <f t="shared" si="0"/>
        <v>166728</v>
      </c>
      <c r="R57" s="108">
        <f t="shared" si="1"/>
        <v>157644.41999999998</v>
      </c>
      <c r="S57" s="124">
        <f>R57*100/'CD Ratio_3(i)'!F57</f>
        <v>39.478099334570764</v>
      </c>
    </row>
    <row r="58" spans="1:19" ht="15" customHeight="1" x14ac:dyDescent="0.2">
      <c r="A58" s="65">
        <v>49</v>
      </c>
      <c r="B58" s="66" t="s">
        <v>230</v>
      </c>
      <c r="C58" s="108">
        <v>141279</v>
      </c>
      <c r="D58" s="108">
        <v>88445</v>
      </c>
      <c r="E58" s="108">
        <f>SCST_OS_22!C58+SCST_OS_22!E58</f>
        <v>60536</v>
      </c>
      <c r="F58" s="108">
        <f>SCST_OS_22!D58+SCST_OS_22!F58</f>
        <v>29806</v>
      </c>
      <c r="G58" s="108">
        <v>1279</v>
      </c>
      <c r="H58" s="108">
        <v>2382</v>
      </c>
      <c r="I58" s="108">
        <f>Minority_OS_20!O58</f>
        <v>30739</v>
      </c>
      <c r="J58" s="108">
        <f>Minority_OS_20!P58</f>
        <v>13009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f t="shared" si="0"/>
        <v>233833</v>
      </c>
      <c r="R58" s="108">
        <f t="shared" si="1"/>
        <v>133642</v>
      </c>
      <c r="S58" s="124">
        <f>R58*100/'CD Ratio_3(i)'!F58</f>
        <v>51.11491887674314</v>
      </c>
    </row>
    <row r="59" spans="1:19" ht="15" customHeight="1" x14ac:dyDescent="0.2">
      <c r="A59" s="65">
        <v>50</v>
      </c>
      <c r="B59" s="66" t="s">
        <v>53</v>
      </c>
      <c r="C59" s="108">
        <v>34995</v>
      </c>
      <c r="D59" s="108">
        <v>33377</v>
      </c>
      <c r="E59" s="108">
        <f>SCST_OS_22!C59+SCST_OS_22!E59</f>
        <v>59214</v>
      </c>
      <c r="F59" s="108">
        <f>SCST_OS_22!D59+SCST_OS_22!F59</f>
        <v>56601.380000000005</v>
      </c>
      <c r="G59" s="108">
        <v>17647</v>
      </c>
      <c r="H59" s="108">
        <v>15937.21</v>
      </c>
      <c r="I59" s="108">
        <f>Minority_OS_20!O59</f>
        <v>21682</v>
      </c>
      <c r="J59" s="108">
        <f>Minority_OS_20!P59</f>
        <v>14811.78</v>
      </c>
      <c r="K59" s="108">
        <v>10684</v>
      </c>
      <c r="L59" s="108">
        <v>309</v>
      </c>
      <c r="M59" s="108">
        <v>0</v>
      </c>
      <c r="N59" s="108">
        <v>0</v>
      </c>
      <c r="O59" s="108">
        <v>0</v>
      </c>
      <c r="P59" s="108">
        <v>0</v>
      </c>
      <c r="Q59" s="108">
        <f t="shared" si="0"/>
        <v>144222</v>
      </c>
      <c r="R59" s="108">
        <f t="shared" si="1"/>
        <v>121036.37</v>
      </c>
      <c r="S59" s="124">
        <f>R59*100/'CD Ratio_3(i)'!F59</f>
        <v>27.14684271673941</v>
      </c>
    </row>
    <row r="60" spans="1:19" s="117" customFormat="1" x14ac:dyDescent="0.2">
      <c r="A60" s="276"/>
      <c r="B60" s="68" t="s">
        <v>415</v>
      </c>
      <c r="C60" s="115">
        <f>SUM(C57:C59)</f>
        <v>223662</v>
      </c>
      <c r="D60" s="115">
        <f t="shared" ref="D60:R60" si="4">SUM(D57:D59)</f>
        <v>188134.34</v>
      </c>
      <c r="E60" s="115">
        <f>SCST_OS_22!C60+SCST_OS_22!E60</f>
        <v>179549</v>
      </c>
      <c r="F60" s="115">
        <f>SCST_OS_22!D60+SCST_OS_22!F60</f>
        <v>142948.75</v>
      </c>
      <c r="G60" s="115">
        <f t="shared" si="4"/>
        <v>26638</v>
      </c>
      <c r="H60" s="115">
        <f t="shared" si="4"/>
        <v>21367.35</v>
      </c>
      <c r="I60" s="115">
        <f>Minority_OS_20!O60</f>
        <v>85502</v>
      </c>
      <c r="J60" s="115">
        <f>Minority_OS_20!P60</f>
        <v>53501.9</v>
      </c>
      <c r="K60" s="115">
        <f t="shared" si="4"/>
        <v>12550</v>
      </c>
      <c r="L60" s="115">
        <f t="shared" si="4"/>
        <v>309.3</v>
      </c>
      <c r="M60" s="115">
        <f t="shared" si="4"/>
        <v>0</v>
      </c>
      <c r="N60" s="115">
        <f t="shared" si="4"/>
        <v>0</v>
      </c>
      <c r="O60" s="115">
        <f t="shared" si="4"/>
        <v>16882</v>
      </c>
      <c r="P60" s="115">
        <f t="shared" si="4"/>
        <v>6061.15</v>
      </c>
      <c r="Q60" s="115">
        <f t="shared" si="4"/>
        <v>544783</v>
      </c>
      <c r="R60" s="115">
        <f t="shared" si="4"/>
        <v>412322.79</v>
      </c>
      <c r="S60" s="125">
        <f>R60*100/'CD Ratio_3(i)'!F60</f>
        <v>37.259210188163522</v>
      </c>
    </row>
    <row r="61" spans="1:19" x14ac:dyDescent="0.2">
      <c r="A61" s="65">
        <v>51</v>
      </c>
      <c r="B61" s="66" t="s">
        <v>409</v>
      </c>
      <c r="C61" s="108">
        <v>0</v>
      </c>
      <c r="D61" s="108">
        <v>432151.26</v>
      </c>
      <c r="E61" s="108">
        <f>SCST_OS_22!C61+SCST_OS_22!E61</f>
        <v>195947</v>
      </c>
      <c r="F61" s="108">
        <f>SCST_OS_22!D61+SCST_OS_22!F61</f>
        <v>172178</v>
      </c>
      <c r="G61" s="108">
        <v>11201</v>
      </c>
      <c r="H61" s="108">
        <v>1268.6199999999999</v>
      </c>
      <c r="I61" s="108">
        <f>Minority_OS_20!O61</f>
        <v>52658</v>
      </c>
      <c r="J61" s="108">
        <f>Minority_OS_20!P61</f>
        <v>21058.93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f t="shared" si="0"/>
        <v>259806</v>
      </c>
      <c r="R61" s="108">
        <f t="shared" si="1"/>
        <v>626656.81000000006</v>
      </c>
      <c r="S61" s="124">
        <f>R61*100/'CD Ratio_3(i)'!F61</f>
        <v>33.688763260797941</v>
      </c>
    </row>
    <row r="62" spans="1:19" x14ac:dyDescent="0.2">
      <c r="A62" s="65"/>
      <c r="B62" s="68" t="s">
        <v>410</v>
      </c>
      <c r="C62" s="115">
        <f>C61</f>
        <v>0</v>
      </c>
      <c r="D62" s="115">
        <f t="shared" ref="D62:R62" si="5">D61</f>
        <v>432151.26</v>
      </c>
      <c r="E62" s="115">
        <f>SCST_OS_22!C62+SCST_OS_22!E62</f>
        <v>195947</v>
      </c>
      <c r="F62" s="115">
        <f>SCST_OS_22!D62+SCST_OS_22!F62</f>
        <v>172178</v>
      </c>
      <c r="G62" s="115">
        <f t="shared" si="5"/>
        <v>11201</v>
      </c>
      <c r="H62" s="115">
        <f t="shared" si="5"/>
        <v>1268.6199999999999</v>
      </c>
      <c r="I62" s="108">
        <f>Minority_OS_20!O62</f>
        <v>52658</v>
      </c>
      <c r="J62" s="108">
        <f>Minority_OS_20!P62</f>
        <v>21058.93</v>
      </c>
      <c r="K62" s="115">
        <f t="shared" si="5"/>
        <v>0</v>
      </c>
      <c r="L62" s="115">
        <f t="shared" si="5"/>
        <v>0</v>
      </c>
      <c r="M62" s="115">
        <f t="shared" si="5"/>
        <v>0</v>
      </c>
      <c r="N62" s="115">
        <f t="shared" si="5"/>
        <v>0</v>
      </c>
      <c r="O62" s="115">
        <f t="shared" si="5"/>
        <v>0</v>
      </c>
      <c r="P62" s="115">
        <f t="shared" si="5"/>
        <v>0</v>
      </c>
      <c r="Q62" s="115">
        <f t="shared" si="5"/>
        <v>259806</v>
      </c>
      <c r="R62" s="115">
        <f t="shared" si="5"/>
        <v>626656.81000000006</v>
      </c>
      <c r="S62" s="125">
        <f>R62*100/'CD Ratio_3(i)'!F62</f>
        <v>33.688763260797941</v>
      </c>
    </row>
    <row r="63" spans="1:19" s="117" customFormat="1" x14ac:dyDescent="0.2">
      <c r="A63" s="276"/>
      <c r="B63" s="68" t="s">
        <v>411</v>
      </c>
      <c r="C63" s="115">
        <f>C62+C60+C56+C33</f>
        <v>1541459</v>
      </c>
      <c r="D63" s="115">
        <f t="shared" ref="D63:R63" si="6">D62+D60+D56+D33</f>
        <v>2323875.12</v>
      </c>
      <c r="E63" s="115">
        <f>SCST_OS_22!C63+SCST_OS_22!E63</f>
        <v>1110813</v>
      </c>
      <c r="F63" s="115">
        <f>SCST_OS_22!D63+SCST_OS_22!F63</f>
        <v>1400195.79</v>
      </c>
      <c r="G63" s="115">
        <f t="shared" si="6"/>
        <v>71208</v>
      </c>
      <c r="H63" s="115">
        <f t="shared" si="6"/>
        <v>49366.17</v>
      </c>
      <c r="I63" s="115">
        <f>Minority_OS_20!O63</f>
        <v>451472</v>
      </c>
      <c r="J63" s="115">
        <f>Minority_OS_20!P63</f>
        <v>788018.82</v>
      </c>
      <c r="K63" s="115">
        <f t="shared" si="6"/>
        <v>160519</v>
      </c>
      <c r="L63" s="115">
        <f t="shared" si="6"/>
        <v>68440.77</v>
      </c>
      <c r="M63" s="115">
        <f t="shared" si="6"/>
        <v>6783</v>
      </c>
      <c r="N63" s="115">
        <f t="shared" si="6"/>
        <v>1302.28</v>
      </c>
      <c r="O63" s="115">
        <f t="shared" si="6"/>
        <v>271526</v>
      </c>
      <c r="P63" s="115">
        <f t="shared" si="6"/>
        <v>294719.99999999994</v>
      </c>
      <c r="Q63" s="115">
        <f t="shared" si="6"/>
        <v>3613780</v>
      </c>
      <c r="R63" s="115">
        <f t="shared" si="6"/>
        <v>4925918.95</v>
      </c>
      <c r="S63" s="125">
        <f>R63*100/'CD Ratio_3(i)'!F63</f>
        <v>22.386223854692272</v>
      </c>
    </row>
    <row r="69" spans="14:14" x14ac:dyDescent="0.2">
      <c r="N69" s="120">
        <f>K63+M63+O63</f>
        <v>438828</v>
      </c>
    </row>
    <row r="71" spans="14:14" x14ac:dyDescent="0.2">
      <c r="N71" s="120">
        <f>L63+N63+P63</f>
        <v>364463.04999999993</v>
      </c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B6">
    <cfRule type="duplicateValues" dxfId="156" priority="3"/>
  </conditionalFormatting>
  <conditionalFormatting sqref="B22">
    <cfRule type="duplicateValues" dxfId="155" priority="4"/>
  </conditionalFormatting>
  <conditionalFormatting sqref="B33:B34 B26:B30">
    <cfRule type="duplicateValues" dxfId="154" priority="5"/>
  </conditionalFormatting>
  <conditionalFormatting sqref="B52">
    <cfRule type="duplicateValues" dxfId="153" priority="6"/>
  </conditionalFormatting>
  <conditionalFormatting sqref="B56">
    <cfRule type="duplicateValues" dxfId="152" priority="7"/>
  </conditionalFormatting>
  <conditionalFormatting sqref="B58">
    <cfRule type="duplicateValues" dxfId="151" priority="8"/>
  </conditionalFormatting>
  <conditionalFormatting sqref="C1:S1048576">
    <cfRule type="cellIs" dxfId="150" priority="2" stopIfTrue="1" operator="lessThan">
      <formula>0</formula>
    </cfRule>
  </conditionalFormatting>
  <conditionalFormatting sqref="S1:S1048576">
    <cfRule type="cellIs" dxfId="149" priority="1" stopIfTrue="1" operator="lessThan">
      <formula>10</formula>
    </cfRule>
  </conditionalFormatting>
  <pageMargins left="0.7" right="0.7" top="0.75" bottom="0.75" header="0.3" footer="0.3"/>
  <pageSetup paperSize="9" scale="77" orientation="landscape" r:id="rId1"/>
  <rowBreaks count="1" manualBreakCount="1">
    <brk id="33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6"/>
  <sheetViews>
    <sheetView zoomScaleNormal="100" workbookViewId="0">
      <pane xSplit="2" ySplit="5" topLeftCell="G51" activePane="bottomRight" state="frozen"/>
      <selection pane="topRight" activeCell="C1" sqref="C1"/>
      <selection pane="bottomLeft" activeCell="A8" sqref="A8"/>
      <selection pane="bottomRight" activeCell="Q67" sqref="Q67"/>
    </sheetView>
  </sheetViews>
  <sheetFormatPr defaultColWidth="4.42578125" defaultRowHeight="13.5" x14ac:dyDescent="0.2"/>
  <cols>
    <col min="1" max="1" width="4.42578125" style="120"/>
    <col min="2" max="2" width="22.5703125" style="120" customWidth="1"/>
    <col min="3" max="3" width="6.85546875" style="120" customWidth="1"/>
    <col min="4" max="4" width="7.140625" style="120" customWidth="1"/>
    <col min="5" max="5" width="7.7109375" style="120" bestFit="1" customWidth="1"/>
    <col min="6" max="6" width="9" style="120" bestFit="1" customWidth="1"/>
    <col min="7" max="7" width="6.28515625" style="120" bestFit="1" customWidth="1"/>
    <col min="8" max="8" width="8" style="120" customWidth="1"/>
    <col min="9" max="9" width="6.140625" style="120" bestFit="1" customWidth="1"/>
    <col min="10" max="10" width="7.85546875" style="120" customWidth="1"/>
    <col min="11" max="11" width="7.28515625" style="120" bestFit="1" customWidth="1"/>
    <col min="12" max="12" width="7.7109375" style="120" customWidth="1"/>
    <col min="13" max="13" width="7.5703125" style="120" customWidth="1"/>
    <col min="14" max="14" width="7.85546875" style="120" customWidth="1"/>
    <col min="15" max="15" width="7.7109375" style="120" customWidth="1"/>
    <col min="16" max="16" width="8.140625" style="120" customWidth="1"/>
    <col min="17" max="17" width="8.42578125" style="120" customWidth="1"/>
    <col min="18" max="18" width="8.28515625" style="120" customWidth="1"/>
    <col min="19" max="19" width="7.7109375" style="120" customWidth="1"/>
    <col min="20" max="20" width="8.7109375" style="120" customWidth="1"/>
    <col min="21" max="21" width="8.140625" style="120" customWidth="1"/>
    <col min="22" max="22" width="9.5703125" style="120" customWidth="1"/>
    <col min="23" max="25" width="9" style="120" bestFit="1" customWidth="1"/>
    <col min="26" max="26" width="8" style="120" bestFit="1" customWidth="1"/>
    <col min="27" max="27" width="4.42578125" style="120" customWidth="1"/>
    <col min="28" max="28" width="8" style="120" bestFit="1" customWidth="1"/>
    <col min="29" max="32" width="4.42578125" style="120" customWidth="1"/>
    <col min="33" max="33" width="9.42578125" style="120" customWidth="1"/>
    <col min="34" max="16384" width="4.42578125" style="120"/>
  </cols>
  <sheetData>
    <row r="1" spans="1:26" ht="15.75" x14ac:dyDescent="0.2">
      <c r="A1" s="433" t="s">
        <v>428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</row>
    <row r="2" spans="1:26" ht="13.5" customHeight="1" x14ac:dyDescent="0.2">
      <c r="A2" s="434" t="s">
        <v>121</v>
      </c>
      <c r="B2" s="434" t="s">
        <v>101</v>
      </c>
      <c r="C2" s="429" t="s">
        <v>269</v>
      </c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1"/>
    </row>
    <row r="3" spans="1:26" ht="15" customHeight="1" x14ac:dyDescent="0.2">
      <c r="A3" s="434"/>
      <c r="B3" s="434"/>
      <c r="C3" s="435" t="s">
        <v>154</v>
      </c>
      <c r="D3" s="436"/>
      <c r="E3" s="428" t="s">
        <v>24</v>
      </c>
      <c r="F3" s="428"/>
      <c r="G3" s="428"/>
      <c r="H3" s="428"/>
      <c r="I3" s="428"/>
      <c r="J3" s="428"/>
      <c r="K3" s="428"/>
      <c r="L3" s="428"/>
      <c r="M3" s="428" t="s">
        <v>137</v>
      </c>
      <c r="N3" s="428"/>
      <c r="O3" s="436" t="s">
        <v>138</v>
      </c>
      <c r="P3" s="439"/>
      <c r="Q3" s="428" t="s">
        <v>155</v>
      </c>
      <c r="R3" s="428"/>
      <c r="S3" s="428" t="s">
        <v>132</v>
      </c>
      <c r="T3" s="428"/>
      <c r="U3" s="428" t="s">
        <v>156</v>
      </c>
      <c r="V3" s="428"/>
    </row>
    <row r="4" spans="1:26" ht="20.100000000000001" customHeight="1" x14ac:dyDescent="0.2">
      <c r="A4" s="434"/>
      <c r="B4" s="434"/>
      <c r="C4" s="437"/>
      <c r="D4" s="438"/>
      <c r="E4" s="429" t="s">
        <v>128</v>
      </c>
      <c r="F4" s="431"/>
      <c r="G4" s="429" t="s">
        <v>129</v>
      </c>
      <c r="H4" s="431"/>
      <c r="I4" s="429" t="s">
        <v>130</v>
      </c>
      <c r="J4" s="431"/>
      <c r="K4" s="429" t="s">
        <v>157</v>
      </c>
      <c r="L4" s="430"/>
      <c r="M4" s="428"/>
      <c r="N4" s="428"/>
      <c r="O4" s="438"/>
      <c r="P4" s="440"/>
      <c r="Q4" s="428"/>
      <c r="R4" s="428"/>
      <c r="S4" s="428"/>
      <c r="T4" s="428"/>
      <c r="U4" s="428"/>
      <c r="V4" s="428"/>
    </row>
    <row r="5" spans="1:26" ht="15" customHeight="1" x14ac:dyDescent="0.2">
      <c r="A5" s="434"/>
      <c r="B5" s="434"/>
      <c r="C5" s="271" t="s">
        <v>267</v>
      </c>
      <c r="D5" s="271" t="s">
        <v>266</v>
      </c>
      <c r="E5" s="271" t="s">
        <v>267</v>
      </c>
      <c r="F5" s="271" t="s">
        <v>266</v>
      </c>
      <c r="G5" s="271" t="s">
        <v>267</v>
      </c>
      <c r="H5" s="271" t="s">
        <v>266</v>
      </c>
      <c r="I5" s="271" t="s">
        <v>267</v>
      </c>
      <c r="J5" s="271" t="s">
        <v>266</v>
      </c>
      <c r="K5" s="274" t="s">
        <v>267</v>
      </c>
      <c r="L5" s="274" t="s">
        <v>266</v>
      </c>
      <c r="M5" s="271" t="s">
        <v>267</v>
      </c>
      <c r="N5" s="271" t="s">
        <v>266</v>
      </c>
      <c r="O5" s="271" t="s">
        <v>267</v>
      </c>
      <c r="P5" s="271" t="s">
        <v>266</v>
      </c>
      <c r="Q5" s="271" t="s">
        <v>267</v>
      </c>
      <c r="R5" s="271" t="s">
        <v>266</v>
      </c>
      <c r="S5" s="271" t="s">
        <v>267</v>
      </c>
      <c r="T5" s="271" t="s">
        <v>266</v>
      </c>
      <c r="U5" s="271" t="s">
        <v>267</v>
      </c>
      <c r="V5" s="271" t="s">
        <v>266</v>
      </c>
      <c r="W5" s="120" t="s">
        <v>270</v>
      </c>
      <c r="X5" s="120" t="s">
        <v>1</v>
      </c>
      <c r="Y5" s="120" t="s">
        <v>429</v>
      </c>
      <c r="Z5" s="120" t="s">
        <v>271</v>
      </c>
    </row>
    <row r="6" spans="1:26" ht="15" customHeight="1" x14ac:dyDescent="0.2">
      <c r="A6" s="131">
        <v>1</v>
      </c>
      <c r="B6" s="108" t="s">
        <v>56</v>
      </c>
      <c r="C6" s="108">
        <v>0</v>
      </c>
      <c r="D6" s="108">
        <v>0</v>
      </c>
      <c r="E6" s="108">
        <v>4</v>
      </c>
      <c r="F6" s="108">
        <v>73</v>
      </c>
      <c r="G6" s="108">
        <v>7</v>
      </c>
      <c r="H6" s="108">
        <v>1941</v>
      </c>
      <c r="I6" s="108">
        <v>2</v>
      </c>
      <c r="J6" s="108">
        <v>2282</v>
      </c>
      <c r="K6" s="108">
        <f>E6+G6+I6</f>
        <v>13</v>
      </c>
      <c r="L6" s="108">
        <f>F6+H6+J6</f>
        <v>4296</v>
      </c>
      <c r="M6" s="108">
        <v>11</v>
      </c>
      <c r="N6" s="108">
        <v>122</v>
      </c>
      <c r="O6" s="108">
        <v>15</v>
      </c>
      <c r="P6" s="108">
        <v>132</v>
      </c>
      <c r="Q6" s="108">
        <v>3703</v>
      </c>
      <c r="R6" s="108">
        <v>2084</v>
      </c>
      <c r="S6" s="108">
        <v>12032</v>
      </c>
      <c r="T6" s="108">
        <v>286040</v>
      </c>
      <c r="U6" s="108">
        <f>C6+K6+M6+O6+Q6+S6</f>
        <v>15774</v>
      </c>
      <c r="V6" s="108">
        <f>T6+R6+P6+N6+L6+D6</f>
        <v>292674</v>
      </c>
      <c r="W6" s="120">
        <f>'Pri Sec_outstanding_6'!P6</f>
        <v>427323</v>
      </c>
      <c r="X6" s="120">
        <f>V6+W6</f>
        <v>719997</v>
      </c>
      <c r="Y6" s="120">
        <f>'CD Ratio_3(i)'!F6</f>
        <v>719997</v>
      </c>
      <c r="Z6" s="120">
        <f>X6-Y6</f>
        <v>0</v>
      </c>
    </row>
    <row r="7" spans="1:26" ht="15" customHeight="1" x14ac:dyDescent="0.2">
      <c r="A7" s="131">
        <v>2</v>
      </c>
      <c r="B7" s="108" t="s">
        <v>57</v>
      </c>
      <c r="C7" s="108">
        <v>0</v>
      </c>
      <c r="D7" s="108">
        <v>0</v>
      </c>
      <c r="E7" s="108">
        <v>2</v>
      </c>
      <c r="F7" s="108">
        <v>858.48</v>
      </c>
      <c r="G7" s="108">
        <v>0</v>
      </c>
      <c r="H7" s="108">
        <v>0</v>
      </c>
      <c r="I7" s="108">
        <v>0</v>
      </c>
      <c r="J7" s="108">
        <v>0</v>
      </c>
      <c r="K7" s="108">
        <f t="shared" ref="K7:K61" si="0">E7+G7+I7</f>
        <v>2</v>
      </c>
      <c r="L7" s="108">
        <f t="shared" ref="L7:L61" si="1">F7+H7+J7</f>
        <v>858.48</v>
      </c>
      <c r="M7" s="108">
        <v>8</v>
      </c>
      <c r="N7" s="108">
        <v>139.97</v>
      </c>
      <c r="O7" s="108">
        <v>46</v>
      </c>
      <c r="P7" s="108">
        <v>1974.63</v>
      </c>
      <c r="Q7" s="108">
        <v>165</v>
      </c>
      <c r="R7" s="108">
        <v>224.93</v>
      </c>
      <c r="S7" s="108">
        <v>654</v>
      </c>
      <c r="T7" s="108">
        <v>20074.650000000001</v>
      </c>
      <c r="U7" s="108">
        <f t="shared" ref="U7:U63" si="2">C7+K7+M7+O7+Q7+S7</f>
        <v>875</v>
      </c>
      <c r="V7" s="108">
        <f t="shared" ref="V7:V63" si="3">T7+R7+P7+N7+L7+D7</f>
        <v>23272.660000000003</v>
      </c>
      <c r="W7" s="120">
        <f>'Pri Sec_outstanding_6'!P7</f>
        <v>27082.29</v>
      </c>
      <c r="X7" s="120">
        <f t="shared" ref="X7:X63" si="4">V7+W7</f>
        <v>50354.950000000004</v>
      </c>
      <c r="Y7" s="120">
        <f>'CD Ratio_3(i)'!F7</f>
        <v>50354.93</v>
      </c>
      <c r="Z7" s="120">
        <f t="shared" ref="Z7:Z63" si="5">X7-Y7</f>
        <v>2.0000000004074536E-2</v>
      </c>
    </row>
    <row r="8" spans="1:26" ht="15" customHeight="1" x14ac:dyDescent="0.2">
      <c r="A8" s="131">
        <v>3</v>
      </c>
      <c r="B8" s="108" t="s">
        <v>58</v>
      </c>
      <c r="C8" s="108">
        <v>1</v>
      </c>
      <c r="D8" s="108">
        <v>1</v>
      </c>
      <c r="E8" s="108">
        <v>735</v>
      </c>
      <c r="F8" s="108">
        <v>14211</v>
      </c>
      <c r="G8" s="108">
        <v>138</v>
      </c>
      <c r="H8" s="108">
        <v>11657</v>
      </c>
      <c r="I8" s="108">
        <v>183</v>
      </c>
      <c r="J8" s="108">
        <v>53051</v>
      </c>
      <c r="K8" s="108">
        <f t="shared" si="0"/>
        <v>1056</v>
      </c>
      <c r="L8" s="108">
        <f t="shared" si="1"/>
        <v>78919</v>
      </c>
      <c r="M8" s="108">
        <v>118</v>
      </c>
      <c r="N8" s="108">
        <v>1637</v>
      </c>
      <c r="O8" s="108">
        <v>735</v>
      </c>
      <c r="P8" s="108">
        <v>21922</v>
      </c>
      <c r="Q8" s="108">
        <v>1866</v>
      </c>
      <c r="R8" s="108">
        <v>2312</v>
      </c>
      <c r="S8" s="108">
        <v>6485</v>
      </c>
      <c r="T8" s="108">
        <f>1+31748</f>
        <v>31749</v>
      </c>
      <c r="U8" s="108">
        <f t="shared" si="2"/>
        <v>10261</v>
      </c>
      <c r="V8" s="108">
        <f t="shared" si="3"/>
        <v>136540</v>
      </c>
      <c r="W8" s="120">
        <f>'Pri Sec_outstanding_6'!P8</f>
        <v>569060</v>
      </c>
      <c r="X8" s="120">
        <f t="shared" si="4"/>
        <v>705600</v>
      </c>
      <c r="Y8" s="120">
        <f>'CD Ratio_3(i)'!F8</f>
        <v>705600</v>
      </c>
      <c r="Z8" s="120">
        <f t="shared" si="5"/>
        <v>0</v>
      </c>
    </row>
    <row r="9" spans="1:26" ht="15" customHeight="1" x14ac:dyDescent="0.2">
      <c r="A9" s="131">
        <v>4</v>
      </c>
      <c r="B9" s="108" t="s">
        <v>59</v>
      </c>
      <c r="C9" s="108">
        <v>16979</v>
      </c>
      <c r="D9" s="108">
        <v>70839</v>
      </c>
      <c r="E9" s="108">
        <v>12</v>
      </c>
      <c r="F9" s="108">
        <v>2442</v>
      </c>
      <c r="G9" s="108">
        <v>65</v>
      </c>
      <c r="H9" s="108">
        <v>19853</v>
      </c>
      <c r="I9" s="108">
        <v>18</v>
      </c>
      <c r="J9" s="108">
        <v>10680</v>
      </c>
      <c r="K9" s="108">
        <f t="shared" si="0"/>
        <v>95</v>
      </c>
      <c r="L9" s="108">
        <f t="shared" si="1"/>
        <v>32975</v>
      </c>
      <c r="M9" s="108">
        <v>132</v>
      </c>
      <c r="N9" s="108">
        <v>175</v>
      </c>
      <c r="O9" s="108">
        <v>4576</v>
      </c>
      <c r="P9" s="108">
        <v>42184</v>
      </c>
      <c r="Q9" s="108">
        <v>3872</v>
      </c>
      <c r="R9" s="108">
        <v>10076</v>
      </c>
      <c r="S9" s="108">
        <v>53274</v>
      </c>
      <c r="T9" s="108">
        <v>85836</v>
      </c>
      <c r="U9" s="108">
        <f t="shared" si="2"/>
        <v>78928</v>
      </c>
      <c r="V9" s="108">
        <f t="shared" si="3"/>
        <v>242085</v>
      </c>
      <c r="W9" s="120">
        <f>'Pri Sec_outstanding_6'!P9</f>
        <v>1409162</v>
      </c>
      <c r="X9" s="120">
        <f t="shared" si="4"/>
        <v>1651247</v>
      </c>
      <c r="Y9" s="120">
        <f>'CD Ratio_3(i)'!F9</f>
        <v>1651247</v>
      </c>
      <c r="Z9" s="120">
        <f t="shared" si="5"/>
        <v>0</v>
      </c>
    </row>
    <row r="10" spans="1:26" ht="15" customHeight="1" x14ac:dyDescent="0.2">
      <c r="A10" s="131">
        <v>5</v>
      </c>
      <c r="B10" s="108" t="s">
        <v>60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f t="shared" si="0"/>
        <v>0</v>
      </c>
      <c r="L10" s="108">
        <f t="shared" si="1"/>
        <v>0</v>
      </c>
      <c r="M10" s="108">
        <v>35</v>
      </c>
      <c r="N10" s="108">
        <v>723</v>
      </c>
      <c r="O10" s="108">
        <v>327</v>
      </c>
      <c r="P10" s="108">
        <v>14426</v>
      </c>
      <c r="Q10" s="108">
        <v>0</v>
      </c>
      <c r="R10" s="108">
        <v>0</v>
      </c>
      <c r="S10" s="108">
        <v>9568</v>
      </c>
      <c r="T10" s="108">
        <f>51923+59408-60038</f>
        <v>51293</v>
      </c>
      <c r="U10" s="108">
        <f t="shared" si="2"/>
        <v>9930</v>
      </c>
      <c r="V10" s="108">
        <f t="shared" si="3"/>
        <v>66442</v>
      </c>
      <c r="W10" s="120">
        <f>'Pri Sec_outstanding_6'!P10</f>
        <v>249384</v>
      </c>
      <c r="X10" s="120">
        <f t="shared" si="4"/>
        <v>315826</v>
      </c>
      <c r="Y10" s="120">
        <f>'CD Ratio_3(i)'!F10</f>
        <v>315826</v>
      </c>
      <c r="Z10" s="120">
        <f t="shared" si="5"/>
        <v>0</v>
      </c>
    </row>
    <row r="11" spans="1:26" ht="15" customHeight="1" x14ac:dyDescent="0.2">
      <c r="A11" s="131">
        <v>6</v>
      </c>
      <c r="B11" s="132" t="s">
        <v>244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f t="shared" si="0"/>
        <v>0</v>
      </c>
      <c r="L11" s="108">
        <f t="shared" si="1"/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59</v>
      </c>
      <c r="U11" s="108">
        <f t="shared" si="2"/>
        <v>0</v>
      </c>
      <c r="V11" s="108">
        <f t="shared" si="3"/>
        <v>59</v>
      </c>
      <c r="W11" s="120">
        <f>'Pri Sec_outstanding_6'!P11</f>
        <v>513.56999999999994</v>
      </c>
      <c r="X11" s="120">
        <f t="shared" si="4"/>
        <v>572.56999999999994</v>
      </c>
      <c r="Y11" s="120">
        <f>'CD Ratio_3(i)'!F11</f>
        <v>573</v>
      </c>
      <c r="Z11" s="120">
        <f t="shared" si="5"/>
        <v>-0.43000000000006366</v>
      </c>
    </row>
    <row r="12" spans="1:26" ht="15" customHeight="1" x14ac:dyDescent="0.2">
      <c r="A12" s="131">
        <v>7</v>
      </c>
      <c r="B12" s="108" t="s">
        <v>61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36</v>
      </c>
      <c r="J12" s="108">
        <v>8062</v>
      </c>
      <c r="K12" s="108">
        <f t="shared" si="0"/>
        <v>36</v>
      </c>
      <c r="L12" s="108">
        <f t="shared" si="1"/>
        <v>8062</v>
      </c>
      <c r="M12" s="108">
        <v>112</v>
      </c>
      <c r="N12" s="108">
        <v>694</v>
      </c>
      <c r="O12" s="108">
        <v>1257</v>
      </c>
      <c r="P12" s="108">
        <v>26115</v>
      </c>
      <c r="Q12" s="108">
        <v>6</v>
      </c>
      <c r="R12" s="108">
        <v>9</v>
      </c>
      <c r="S12" s="108">
        <v>3245</v>
      </c>
      <c r="T12" s="108">
        <f>41162-36</f>
        <v>41126</v>
      </c>
      <c r="U12" s="108">
        <f t="shared" si="2"/>
        <v>4656</v>
      </c>
      <c r="V12" s="108">
        <f t="shared" si="3"/>
        <v>76006</v>
      </c>
      <c r="W12" s="120">
        <f>'Pri Sec_outstanding_6'!P12</f>
        <v>340081</v>
      </c>
      <c r="X12" s="120">
        <f t="shared" si="4"/>
        <v>416087</v>
      </c>
      <c r="Y12" s="120">
        <f>'CD Ratio_3(i)'!F12</f>
        <v>416087</v>
      </c>
      <c r="Z12" s="120">
        <f t="shared" si="5"/>
        <v>0</v>
      </c>
    </row>
    <row r="13" spans="1:26" ht="15" customHeight="1" x14ac:dyDescent="0.2">
      <c r="A13" s="131">
        <v>8</v>
      </c>
      <c r="B13" s="108" t="s">
        <v>62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43</v>
      </c>
      <c r="J13" s="108">
        <v>54231</v>
      </c>
      <c r="K13" s="108">
        <f t="shared" si="0"/>
        <v>43</v>
      </c>
      <c r="L13" s="108">
        <f t="shared" si="1"/>
        <v>54231</v>
      </c>
      <c r="M13" s="108">
        <v>269</v>
      </c>
      <c r="N13" s="108">
        <v>3898</v>
      </c>
      <c r="O13" s="108">
        <v>423</v>
      </c>
      <c r="P13" s="108">
        <v>14236</v>
      </c>
      <c r="Q13" s="108">
        <v>7060</v>
      </c>
      <c r="R13" s="108">
        <v>9518</v>
      </c>
      <c r="S13" s="108">
        <v>2350</v>
      </c>
      <c r="T13" s="108">
        <v>202565</v>
      </c>
      <c r="U13" s="108">
        <f t="shared" si="2"/>
        <v>10145</v>
      </c>
      <c r="V13" s="108">
        <f t="shared" si="3"/>
        <v>284448</v>
      </c>
      <c r="W13" s="120">
        <f>'Pri Sec_outstanding_6'!P13</f>
        <v>949966</v>
      </c>
      <c r="X13" s="120">
        <f t="shared" si="4"/>
        <v>1234414</v>
      </c>
      <c r="Y13" s="120">
        <f>'CD Ratio_3(i)'!F13</f>
        <v>1234413.5900000001</v>
      </c>
      <c r="Z13" s="120">
        <f t="shared" si="5"/>
        <v>0.40999999991618097</v>
      </c>
    </row>
    <row r="14" spans="1:26" ht="15" customHeight="1" x14ac:dyDescent="0.2">
      <c r="A14" s="131">
        <v>9</v>
      </c>
      <c r="B14" s="128" t="s">
        <v>49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15</v>
      </c>
      <c r="J14" s="108">
        <v>2340</v>
      </c>
      <c r="K14" s="108">
        <f t="shared" si="0"/>
        <v>15</v>
      </c>
      <c r="L14" s="108">
        <f t="shared" si="1"/>
        <v>2340</v>
      </c>
      <c r="M14" s="108">
        <v>1</v>
      </c>
      <c r="N14" s="108">
        <v>21</v>
      </c>
      <c r="O14" s="108">
        <v>30</v>
      </c>
      <c r="P14" s="108">
        <v>4155</v>
      </c>
      <c r="Q14" s="108">
        <v>459</v>
      </c>
      <c r="R14" s="108">
        <v>259</v>
      </c>
      <c r="S14" s="108">
        <v>847</v>
      </c>
      <c r="T14" s="108">
        <v>213319</v>
      </c>
      <c r="U14" s="108">
        <f t="shared" si="2"/>
        <v>1352</v>
      </c>
      <c r="V14" s="108">
        <f t="shared" si="3"/>
        <v>220094</v>
      </c>
      <c r="W14" s="120">
        <f>'Pri Sec_outstanding_6'!P14</f>
        <v>98515</v>
      </c>
      <c r="X14" s="120">
        <f t="shared" si="4"/>
        <v>318609</v>
      </c>
      <c r="Y14" s="120">
        <f>'CD Ratio_3(i)'!F14</f>
        <v>318609</v>
      </c>
      <c r="Z14" s="120">
        <f t="shared" si="5"/>
        <v>0</v>
      </c>
    </row>
    <row r="15" spans="1:26" ht="15" customHeight="1" x14ac:dyDescent="0.2">
      <c r="A15" s="131">
        <v>10</v>
      </c>
      <c r="B15" s="128" t="s">
        <v>50</v>
      </c>
      <c r="C15" s="108">
        <v>0</v>
      </c>
      <c r="D15" s="108">
        <v>0</v>
      </c>
      <c r="E15" s="108">
        <v>2</v>
      </c>
      <c r="F15" s="108">
        <v>277</v>
      </c>
      <c r="G15" s="108">
        <v>0</v>
      </c>
      <c r="H15" s="108">
        <v>0</v>
      </c>
      <c r="I15" s="108">
        <v>0</v>
      </c>
      <c r="J15" s="108">
        <v>0</v>
      </c>
      <c r="K15" s="108">
        <f t="shared" si="0"/>
        <v>2</v>
      </c>
      <c r="L15" s="108">
        <f t="shared" si="1"/>
        <v>277</v>
      </c>
      <c r="M15" s="108">
        <v>4</v>
      </c>
      <c r="N15" s="108">
        <v>65</v>
      </c>
      <c r="O15" s="108">
        <v>374</v>
      </c>
      <c r="P15" s="108">
        <v>6835</v>
      </c>
      <c r="Q15" s="108">
        <v>3392</v>
      </c>
      <c r="R15" s="108">
        <v>5765</v>
      </c>
      <c r="S15" s="108">
        <v>1655</v>
      </c>
      <c r="T15" s="108">
        <v>110314</v>
      </c>
      <c r="U15" s="108">
        <f t="shared" si="2"/>
        <v>5427</v>
      </c>
      <c r="V15" s="108">
        <f t="shared" si="3"/>
        <v>123256</v>
      </c>
      <c r="W15" s="120">
        <f>'Pri Sec_outstanding_6'!P15</f>
        <v>70477</v>
      </c>
      <c r="X15" s="120">
        <f t="shared" si="4"/>
        <v>193733</v>
      </c>
      <c r="Y15" s="120">
        <f>'CD Ratio_3(i)'!F15</f>
        <v>193733.15</v>
      </c>
      <c r="Z15" s="120">
        <f t="shared" si="5"/>
        <v>-0.14999999999417923</v>
      </c>
    </row>
    <row r="16" spans="1:26" ht="15" customHeight="1" x14ac:dyDescent="0.2">
      <c r="A16" s="131">
        <v>11</v>
      </c>
      <c r="B16" s="128" t="s">
        <v>82</v>
      </c>
      <c r="C16" s="108">
        <v>3</v>
      </c>
      <c r="D16" s="108">
        <v>1908</v>
      </c>
      <c r="E16" s="108">
        <v>737</v>
      </c>
      <c r="F16" s="108">
        <v>20005</v>
      </c>
      <c r="G16" s="108">
        <v>481</v>
      </c>
      <c r="H16" s="108">
        <v>28706</v>
      </c>
      <c r="I16" s="108">
        <v>0</v>
      </c>
      <c r="J16" s="108">
        <v>0</v>
      </c>
      <c r="K16" s="108">
        <f t="shared" si="0"/>
        <v>1218</v>
      </c>
      <c r="L16" s="108">
        <f t="shared" si="1"/>
        <v>48711</v>
      </c>
      <c r="M16" s="108">
        <v>8</v>
      </c>
      <c r="N16" s="108">
        <v>107</v>
      </c>
      <c r="O16" s="108">
        <v>572</v>
      </c>
      <c r="P16" s="108">
        <v>51222</v>
      </c>
      <c r="Q16" s="108">
        <v>4055</v>
      </c>
      <c r="R16" s="108">
        <v>52910</v>
      </c>
      <c r="S16" s="108">
        <v>657</v>
      </c>
      <c r="T16" s="108">
        <v>46250</v>
      </c>
      <c r="U16" s="108">
        <f t="shared" si="2"/>
        <v>6513</v>
      </c>
      <c r="V16" s="108">
        <f t="shared" si="3"/>
        <v>201108</v>
      </c>
      <c r="W16" s="120">
        <f>'Pri Sec_outstanding_6'!P16</f>
        <v>172529</v>
      </c>
      <c r="X16" s="120">
        <f t="shared" si="4"/>
        <v>373637</v>
      </c>
      <c r="Y16" s="120">
        <f>'CD Ratio_3(i)'!F16</f>
        <v>373637</v>
      </c>
      <c r="Z16" s="120">
        <f t="shared" si="5"/>
        <v>0</v>
      </c>
    </row>
    <row r="17" spans="1:26" ht="15" customHeight="1" x14ac:dyDescent="0.2">
      <c r="A17" s="131">
        <v>12</v>
      </c>
      <c r="B17" s="128" t="s">
        <v>63</v>
      </c>
      <c r="C17" s="108">
        <v>0</v>
      </c>
      <c r="D17" s="108">
        <v>0</v>
      </c>
      <c r="E17" s="108">
        <v>1</v>
      </c>
      <c r="F17" s="108">
        <v>23.72</v>
      </c>
      <c r="G17" s="108">
        <v>0</v>
      </c>
      <c r="H17" s="108">
        <v>0</v>
      </c>
      <c r="I17" s="108">
        <v>0</v>
      </c>
      <c r="J17" s="108">
        <v>0</v>
      </c>
      <c r="K17" s="108">
        <f t="shared" si="0"/>
        <v>1</v>
      </c>
      <c r="L17" s="108">
        <f t="shared" si="1"/>
        <v>23.72</v>
      </c>
      <c r="M17" s="108">
        <v>0</v>
      </c>
      <c r="N17" s="108">
        <v>0</v>
      </c>
      <c r="O17" s="108">
        <v>0</v>
      </c>
      <c r="P17" s="108">
        <v>0</v>
      </c>
      <c r="Q17" s="108">
        <v>612</v>
      </c>
      <c r="R17" s="108">
        <v>1650.24</v>
      </c>
      <c r="S17" s="108">
        <v>706</v>
      </c>
      <c r="T17" s="108">
        <v>11732.78</v>
      </c>
      <c r="U17" s="108">
        <f t="shared" si="2"/>
        <v>1319</v>
      </c>
      <c r="V17" s="108">
        <f t="shared" si="3"/>
        <v>13406.74</v>
      </c>
      <c r="W17" s="120">
        <f>'Pri Sec_outstanding_6'!P17</f>
        <v>19802.940000000002</v>
      </c>
      <c r="X17" s="120">
        <f t="shared" si="4"/>
        <v>33209.68</v>
      </c>
      <c r="Y17" s="120">
        <f>'CD Ratio_3(i)'!F17</f>
        <v>33209.68</v>
      </c>
      <c r="Z17" s="120">
        <f t="shared" si="5"/>
        <v>0</v>
      </c>
    </row>
    <row r="18" spans="1:26" ht="15" customHeight="1" x14ac:dyDescent="0.2">
      <c r="A18" s="131">
        <v>13</v>
      </c>
      <c r="B18" s="128" t="s">
        <v>64</v>
      </c>
      <c r="C18" s="108">
        <v>1</v>
      </c>
      <c r="D18" s="108">
        <v>137</v>
      </c>
      <c r="E18" s="108">
        <v>0</v>
      </c>
      <c r="F18" s="108">
        <v>0</v>
      </c>
      <c r="G18" s="108">
        <v>3</v>
      </c>
      <c r="H18" s="108">
        <v>718</v>
      </c>
      <c r="I18" s="108">
        <v>5</v>
      </c>
      <c r="J18" s="108">
        <v>17616</v>
      </c>
      <c r="K18" s="108">
        <f t="shared" si="0"/>
        <v>8</v>
      </c>
      <c r="L18" s="108">
        <f t="shared" si="1"/>
        <v>18334</v>
      </c>
      <c r="M18" s="108">
        <v>0</v>
      </c>
      <c r="N18" s="108">
        <v>0</v>
      </c>
      <c r="O18" s="108">
        <v>36</v>
      </c>
      <c r="P18" s="108">
        <v>1478</v>
      </c>
      <c r="Q18" s="108">
        <v>3172</v>
      </c>
      <c r="R18" s="108">
        <v>6105</v>
      </c>
      <c r="S18" s="108">
        <v>1923</v>
      </c>
      <c r="T18" s="108">
        <f>20412-14362</f>
        <v>6050</v>
      </c>
      <c r="U18" s="108">
        <f t="shared" si="2"/>
        <v>5140</v>
      </c>
      <c r="V18" s="108">
        <f t="shared" si="3"/>
        <v>32104</v>
      </c>
      <c r="W18" s="120">
        <f>'Pri Sec_outstanding_6'!P18</f>
        <v>65361</v>
      </c>
      <c r="X18" s="120">
        <f t="shared" si="4"/>
        <v>97465</v>
      </c>
      <c r="Y18" s="120">
        <f>'CD Ratio_3(i)'!F18</f>
        <v>97465</v>
      </c>
      <c r="Z18" s="120">
        <f t="shared" si="5"/>
        <v>0</v>
      </c>
    </row>
    <row r="19" spans="1:26" ht="15" customHeight="1" x14ac:dyDescent="0.2">
      <c r="A19" s="131">
        <v>14</v>
      </c>
      <c r="B19" s="126" t="s">
        <v>208</v>
      </c>
      <c r="C19" s="108">
        <v>5</v>
      </c>
      <c r="D19" s="108">
        <v>29.93</v>
      </c>
      <c r="E19" s="108">
        <v>0</v>
      </c>
      <c r="F19" s="108">
        <v>0</v>
      </c>
      <c r="G19" s="108">
        <v>5</v>
      </c>
      <c r="H19" s="108">
        <v>1163.23</v>
      </c>
      <c r="I19" s="108">
        <v>7</v>
      </c>
      <c r="J19" s="108">
        <v>2553.35</v>
      </c>
      <c r="K19" s="108">
        <f t="shared" si="0"/>
        <v>12</v>
      </c>
      <c r="L19" s="108">
        <f t="shared" si="1"/>
        <v>3716.58</v>
      </c>
      <c r="M19" s="108">
        <v>35</v>
      </c>
      <c r="N19" s="108">
        <v>272.07</v>
      </c>
      <c r="O19" s="108">
        <v>679</v>
      </c>
      <c r="P19" s="108">
        <v>8913.9699999999993</v>
      </c>
      <c r="Q19" s="108">
        <v>2245</v>
      </c>
      <c r="R19" s="108">
        <v>3404.08</v>
      </c>
      <c r="S19" s="108">
        <v>3833</v>
      </c>
      <c r="T19" s="108">
        <v>72622</v>
      </c>
      <c r="U19" s="108">
        <f t="shared" si="2"/>
        <v>6809</v>
      </c>
      <c r="V19" s="108">
        <f t="shared" si="3"/>
        <v>88958.63</v>
      </c>
      <c r="W19" s="120">
        <f>'Pri Sec_outstanding_6'!P19</f>
        <v>118826.93999999999</v>
      </c>
      <c r="X19" s="120">
        <f t="shared" si="4"/>
        <v>207785.57</v>
      </c>
      <c r="Y19" s="120">
        <f>'CD Ratio_3(i)'!F19</f>
        <v>207786</v>
      </c>
      <c r="Z19" s="120">
        <f t="shared" si="5"/>
        <v>-0.42999999999301508</v>
      </c>
    </row>
    <row r="20" spans="1:26" ht="15" customHeight="1" x14ac:dyDescent="0.2">
      <c r="A20" s="131">
        <v>15</v>
      </c>
      <c r="B20" s="128" t="s">
        <v>209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f t="shared" si="0"/>
        <v>0</v>
      </c>
      <c r="L20" s="108">
        <f t="shared" si="1"/>
        <v>0</v>
      </c>
      <c r="M20" s="108">
        <v>1</v>
      </c>
      <c r="N20" s="108">
        <v>20</v>
      </c>
      <c r="O20" s="108">
        <v>113</v>
      </c>
      <c r="P20" s="108">
        <v>2943</v>
      </c>
      <c r="Q20" s="108">
        <v>418</v>
      </c>
      <c r="R20" s="108">
        <v>88</v>
      </c>
      <c r="S20" s="108">
        <v>1888</v>
      </c>
      <c r="T20" s="108">
        <v>6088</v>
      </c>
      <c r="U20" s="108">
        <f t="shared" si="2"/>
        <v>2420</v>
      </c>
      <c r="V20" s="108">
        <f t="shared" si="3"/>
        <v>9139</v>
      </c>
      <c r="W20" s="120">
        <f>'Pri Sec_outstanding_6'!P20</f>
        <v>56168.200000000004</v>
      </c>
      <c r="X20" s="120">
        <f t="shared" si="4"/>
        <v>65307.200000000004</v>
      </c>
      <c r="Y20" s="120">
        <f>'CD Ratio_3(i)'!F20</f>
        <v>65307</v>
      </c>
      <c r="Z20" s="120">
        <f t="shared" si="5"/>
        <v>0.20000000000436557</v>
      </c>
    </row>
    <row r="21" spans="1:26" ht="15" customHeight="1" x14ac:dyDescent="0.2">
      <c r="A21" s="131">
        <v>16</v>
      </c>
      <c r="B21" s="128" t="s">
        <v>65</v>
      </c>
      <c r="C21" s="108">
        <v>9</v>
      </c>
      <c r="D21" s="108">
        <v>69852</v>
      </c>
      <c r="E21" s="108">
        <v>18</v>
      </c>
      <c r="F21" s="108">
        <v>5062</v>
      </c>
      <c r="G21" s="108">
        <v>29</v>
      </c>
      <c r="H21" s="108">
        <v>34558.199999999997</v>
      </c>
      <c r="I21" s="108">
        <v>6</v>
      </c>
      <c r="J21" s="108">
        <v>9372.7999999999993</v>
      </c>
      <c r="K21" s="108">
        <f t="shared" si="0"/>
        <v>53</v>
      </c>
      <c r="L21" s="108">
        <f t="shared" si="1"/>
        <v>48993</v>
      </c>
      <c r="M21" s="108">
        <v>24</v>
      </c>
      <c r="N21" s="108">
        <v>378</v>
      </c>
      <c r="O21" s="108">
        <v>2042</v>
      </c>
      <c r="P21" s="108">
        <v>62965</v>
      </c>
      <c r="Q21" s="108">
        <v>23511</v>
      </c>
      <c r="R21" s="108">
        <v>82493</v>
      </c>
      <c r="S21" s="108">
        <v>11528</v>
      </c>
      <c r="T21" s="108">
        <v>319550</v>
      </c>
      <c r="U21" s="108">
        <f t="shared" si="2"/>
        <v>37167</v>
      </c>
      <c r="V21" s="108">
        <f t="shared" si="3"/>
        <v>584231</v>
      </c>
      <c r="W21" s="120">
        <f>'Pri Sec_outstanding_6'!P21</f>
        <v>749330</v>
      </c>
      <c r="X21" s="120">
        <f t="shared" si="4"/>
        <v>1333561</v>
      </c>
      <c r="Y21" s="120">
        <f>'CD Ratio_3(i)'!F21</f>
        <v>1333561</v>
      </c>
      <c r="Z21" s="120">
        <f t="shared" si="5"/>
        <v>0</v>
      </c>
    </row>
    <row r="22" spans="1:26" ht="15" customHeight="1" x14ac:dyDescent="0.2">
      <c r="A22" s="131">
        <v>17</v>
      </c>
      <c r="B22" s="127" t="s">
        <v>70</v>
      </c>
      <c r="C22" s="108">
        <v>0</v>
      </c>
      <c r="D22" s="108">
        <v>0</v>
      </c>
      <c r="E22" s="108">
        <v>72</v>
      </c>
      <c r="F22" s="108">
        <f>5982-1661</f>
        <v>4321</v>
      </c>
      <c r="G22" s="108">
        <v>35</v>
      </c>
      <c r="H22" s="108">
        <v>7917</v>
      </c>
      <c r="I22" s="108">
        <v>0</v>
      </c>
      <c r="J22" s="108">
        <v>0</v>
      </c>
      <c r="K22" s="108">
        <f t="shared" si="0"/>
        <v>107</v>
      </c>
      <c r="L22" s="108">
        <f t="shared" si="1"/>
        <v>12238</v>
      </c>
      <c r="M22" s="108">
        <v>0</v>
      </c>
      <c r="N22" s="108">
        <v>0</v>
      </c>
      <c r="O22" s="108">
        <v>192</v>
      </c>
      <c r="P22" s="108">
        <v>4968.79</v>
      </c>
      <c r="Q22" s="108">
        <v>72</v>
      </c>
      <c r="R22" s="108">
        <v>809</v>
      </c>
      <c r="S22" s="108">
        <v>0</v>
      </c>
      <c r="T22" s="108">
        <v>0</v>
      </c>
      <c r="U22" s="108">
        <f t="shared" si="2"/>
        <v>371</v>
      </c>
      <c r="V22" s="108">
        <f t="shared" si="3"/>
        <v>18015.79</v>
      </c>
      <c r="W22" s="120">
        <f>'Pri Sec_outstanding_6'!P22</f>
        <v>16161.68</v>
      </c>
      <c r="X22" s="120">
        <f t="shared" si="4"/>
        <v>34177.47</v>
      </c>
      <c r="Y22" s="120">
        <f>'CD Ratio_3(i)'!F22</f>
        <v>34177</v>
      </c>
      <c r="Z22" s="120">
        <f t="shared" si="5"/>
        <v>0.47000000000116415</v>
      </c>
    </row>
    <row r="23" spans="1:26" ht="15" customHeight="1" x14ac:dyDescent="0.2">
      <c r="A23" s="131">
        <v>18</v>
      </c>
      <c r="B23" s="128" t="s">
        <v>210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f t="shared" si="0"/>
        <v>0</v>
      </c>
      <c r="L23" s="108">
        <f t="shared" si="1"/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36749</v>
      </c>
      <c r="U23" s="108">
        <f t="shared" si="2"/>
        <v>0</v>
      </c>
      <c r="V23" s="108">
        <f t="shared" si="3"/>
        <v>36749</v>
      </c>
      <c r="W23" s="120">
        <f>'Pri Sec_outstanding_6'!P23</f>
        <v>2847.04</v>
      </c>
      <c r="X23" s="120">
        <f t="shared" si="4"/>
        <v>39596.04</v>
      </c>
      <c r="Y23" s="120">
        <f>'CD Ratio_3(i)'!F23</f>
        <v>39596</v>
      </c>
      <c r="Z23" s="120">
        <f t="shared" si="5"/>
        <v>4.0000000000873115E-2</v>
      </c>
    </row>
    <row r="24" spans="1:26" ht="15" customHeight="1" x14ac:dyDescent="0.2">
      <c r="A24" s="131">
        <v>19</v>
      </c>
      <c r="B24" s="129" t="s">
        <v>211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20</v>
      </c>
      <c r="J24" s="108">
        <v>1000</v>
      </c>
      <c r="K24" s="108">
        <f t="shared" si="0"/>
        <v>20</v>
      </c>
      <c r="L24" s="108">
        <f t="shared" si="1"/>
        <v>1000</v>
      </c>
      <c r="M24" s="108">
        <v>0</v>
      </c>
      <c r="N24" s="108">
        <v>0</v>
      </c>
      <c r="O24" s="108">
        <v>20</v>
      </c>
      <c r="P24" s="108">
        <v>1634</v>
      </c>
      <c r="Q24" s="108">
        <v>1</v>
      </c>
      <c r="R24" s="108">
        <v>3</v>
      </c>
      <c r="S24" s="108">
        <v>212</v>
      </c>
      <c r="T24" s="108">
        <f>93342+66</f>
        <v>93408</v>
      </c>
      <c r="U24" s="108">
        <f t="shared" si="2"/>
        <v>253</v>
      </c>
      <c r="V24" s="108">
        <f t="shared" si="3"/>
        <v>96045</v>
      </c>
      <c r="W24" s="120">
        <f>'Pri Sec_outstanding_6'!P24</f>
        <v>10514.43</v>
      </c>
      <c r="X24" s="120">
        <f t="shared" si="4"/>
        <v>106559.43</v>
      </c>
      <c r="Y24" s="120">
        <f>'CD Ratio_3(i)'!F24</f>
        <v>106559</v>
      </c>
      <c r="Z24" s="120">
        <f t="shared" si="5"/>
        <v>0.42999999999301508</v>
      </c>
    </row>
    <row r="25" spans="1:26" ht="15" customHeight="1" x14ac:dyDescent="0.2">
      <c r="A25" s="131">
        <v>20</v>
      </c>
      <c r="B25" s="128" t="s">
        <v>212</v>
      </c>
      <c r="C25" s="108">
        <v>0</v>
      </c>
      <c r="D25" s="108">
        <v>0</v>
      </c>
      <c r="E25" s="108">
        <v>36</v>
      </c>
      <c r="F25" s="108">
        <v>103</v>
      </c>
      <c r="G25" s="108">
        <v>62</v>
      </c>
      <c r="H25" s="108">
        <v>1254</v>
      </c>
      <c r="I25" s="108">
        <v>38</v>
      </c>
      <c r="J25" s="108">
        <v>496</v>
      </c>
      <c r="K25" s="108">
        <f t="shared" si="0"/>
        <v>136</v>
      </c>
      <c r="L25" s="108">
        <f t="shared" si="1"/>
        <v>1853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f t="shared" si="2"/>
        <v>136</v>
      </c>
      <c r="V25" s="108">
        <f t="shared" si="3"/>
        <v>1853</v>
      </c>
      <c r="W25" s="120">
        <f>'Pri Sec_outstanding_6'!P25</f>
        <v>44310</v>
      </c>
      <c r="X25" s="120">
        <f t="shared" si="4"/>
        <v>46163</v>
      </c>
      <c r="Y25" s="120">
        <f>'CD Ratio_3(i)'!F25</f>
        <v>46163</v>
      </c>
      <c r="Z25" s="120">
        <f t="shared" si="5"/>
        <v>0</v>
      </c>
    </row>
    <row r="26" spans="1:26" ht="15" customHeight="1" x14ac:dyDescent="0.2">
      <c r="A26" s="131">
        <v>21</v>
      </c>
      <c r="B26" s="128" t="s">
        <v>213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f t="shared" si="0"/>
        <v>0</v>
      </c>
      <c r="L26" s="108">
        <f t="shared" si="1"/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79593</v>
      </c>
      <c r="U26" s="108">
        <f t="shared" si="2"/>
        <v>0</v>
      </c>
      <c r="V26" s="108">
        <f t="shared" si="3"/>
        <v>79593</v>
      </c>
      <c r="W26" s="120">
        <f>'Pri Sec_outstanding_6'!P26</f>
        <v>0</v>
      </c>
      <c r="X26" s="120">
        <f t="shared" si="4"/>
        <v>79593</v>
      </c>
      <c r="Y26" s="120">
        <f>'CD Ratio_3(i)'!F26</f>
        <v>79593</v>
      </c>
      <c r="Z26" s="120">
        <f t="shared" si="5"/>
        <v>0</v>
      </c>
    </row>
    <row r="27" spans="1:26" ht="15" customHeight="1" x14ac:dyDescent="0.2">
      <c r="A27" s="131">
        <v>22</v>
      </c>
      <c r="B27" s="128" t="s">
        <v>71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74</v>
      </c>
      <c r="J27" s="108">
        <v>96970</v>
      </c>
      <c r="K27" s="108">
        <f t="shared" si="0"/>
        <v>74</v>
      </c>
      <c r="L27" s="108">
        <f t="shared" si="1"/>
        <v>96970</v>
      </c>
      <c r="M27" s="108">
        <v>2062</v>
      </c>
      <c r="N27" s="108">
        <v>23045</v>
      </c>
      <c r="O27" s="108">
        <v>8175</v>
      </c>
      <c r="P27" s="108">
        <v>226044</v>
      </c>
      <c r="Q27" s="108">
        <v>72410</v>
      </c>
      <c r="R27" s="108">
        <v>730695</v>
      </c>
      <c r="S27" s="108">
        <v>2008</v>
      </c>
      <c r="T27" s="108">
        <f>2239+2191496</f>
        <v>2193735</v>
      </c>
      <c r="U27" s="108">
        <f t="shared" si="2"/>
        <v>84729</v>
      </c>
      <c r="V27" s="108">
        <f t="shared" si="3"/>
        <v>3270489</v>
      </c>
      <c r="W27" s="120">
        <f>'Pri Sec_outstanding_6'!P27</f>
        <v>2557455</v>
      </c>
      <c r="X27" s="120">
        <f t="shared" si="4"/>
        <v>5827944</v>
      </c>
      <c r="Y27" s="120">
        <f>'CD Ratio_3(i)'!F27</f>
        <v>5827944</v>
      </c>
      <c r="Z27" s="120">
        <f t="shared" si="5"/>
        <v>0</v>
      </c>
    </row>
    <row r="28" spans="1:26" ht="15" customHeight="1" x14ac:dyDescent="0.2">
      <c r="A28" s="131">
        <v>23</v>
      </c>
      <c r="B28" s="128" t="s">
        <v>66</v>
      </c>
      <c r="C28" s="108">
        <v>25</v>
      </c>
      <c r="D28" s="108">
        <v>50</v>
      </c>
      <c r="E28" s="108">
        <v>169</v>
      </c>
      <c r="F28" s="108">
        <v>589</v>
      </c>
      <c r="G28" s="108">
        <v>24</v>
      </c>
      <c r="H28" s="108">
        <v>1166</v>
      </c>
      <c r="I28" s="108">
        <v>0</v>
      </c>
      <c r="J28" s="108">
        <v>0</v>
      </c>
      <c r="K28" s="108">
        <f t="shared" si="0"/>
        <v>193</v>
      </c>
      <c r="L28" s="108">
        <f t="shared" si="1"/>
        <v>1755</v>
      </c>
      <c r="M28" s="108">
        <v>4</v>
      </c>
      <c r="N28" s="108">
        <v>38</v>
      </c>
      <c r="O28" s="108">
        <v>118</v>
      </c>
      <c r="P28" s="108">
        <v>2759</v>
      </c>
      <c r="Q28" s="108">
        <v>5368</v>
      </c>
      <c r="R28" s="108">
        <v>7637</v>
      </c>
      <c r="S28" s="108">
        <v>5841</v>
      </c>
      <c r="T28" s="108">
        <f>71992-47926</f>
        <v>24066</v>
      </c>
      <c r="U28" s="108">
        <f t="shared" si="2"/>
        <v>11549</v>
      </c>
      <c r="V28" s="108">
        <f t="shared" si="3"/>
        <v>36305</v>
      </c>
      <c r="W28" s="120">
        <f>'Pri Sec_outstanding_6'!P28</f>
        <v>111394</v>
      </c>
      <c r="X28" s="120">
        <f t="shared" si="4"/>
        <v>147699</v>
      </c>
      <c r="Y28" s="120">
        <f>'CD Ratio_3(i)'!F28</f>
        <v>147699.48000000001</v>
      </c>
      <c r="Z28" s="120">
        <f t="shared" si="5"/>
        <v>-0.48000000001047738</v>
      </c>
    </row>
    <row r="29" spans="1:26" ht="15" customHeight="1" x14ac:dyDescent="0.2">
      <c r="A29" s="131">
        <v>24</v>
      </c>
      <c r="B29" s="128" t="s">
        <v>214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23</v>
      </c>
      <c r="J29" s="108">
        <v>25659</v>
      </c>
      <c r="K29" s="108">
        <f t="shared" si="0"/>
        <v>23</v>
      </c>
      <c r="L29" s="108">
        <f t="shared" si="1"/>
        <v>25659</v>
      </c>
      <c r="M29" s="108">
        <v>440</v>
      </c>
      <c r="N29" s="108">
        <v>1193</v>
      </c>
      <c r="O29" s="108">
        <v>1209</v>
      </c>
      <c r="P29" s="108">
        <v>12127</v>
      </c>
      <c r="Q29" s="108">
        <v>2734</v>
      </c>
      <c r="R29" s="108">
        <v>2314</v>
      </c>
      <c r="S29" s="108">
        <v>2885</v>
      </c>
      <c r="T29" s="108">
        <v>35394.980000000003</v>
      </c>
      <c r="U29" s="108">
        <f t="shared" si="2"/>
        <v>7291</v>
      </c>
      <c r="V29" s="108">
        <f t="shared" si="3"/>
        <v>76687.98000000001</v>
      </c>
      <c r="W29" s="120">
        <f>'Pri Sec_outstanding_6'!P29</f>
        <v>365450</v>
      </c>
      <c r="X29" s="120">
        <f t="shared" si="4"/>
        <v>442137.98</v>
      </c>
      <c r="Y29" s="120">
        <f>'CD Ratio_3(i)'!F29</f>
        <v>442137.96</v>
      </c>
      <c r="Z29" s="120">
        <f t="shared" si="5"/>
        <v>1.9999999960418791E-2</v>
      </c>
    </row>
    <row r="30" spans="1:26" ht="15" customHeight="1" x14ac:dyDescent="0.2">
      <c r="A30" s="131">
        <v>25</v>
      </c>
      <c r="B30" s="128" t="s">
        <v>67</v>
      </c>
      <c r="C30" s="108">
        <v>0</v>
      </c>
      <c r="D30" s="108">
        <v>0</v>
      </c>
      <c r="E30" s="108">
        <v>2704</v>
      </c>
      <c r="F30" s="108">
        <v>6801</v>
      </c>
      <c r="G30" s="108">
        <v>89</v>
      </c>
      <c r="H30" s="108">
        <v>21163</v>
      </c>
      <c r="I30" s="108">
        <v>10</v>
      </c>
      <c r="J30" s="108">
        <v>27185.97</v>
      </c>
      <c r="K30" s="108">
        <f t="shared" si="0"/>
        <v>2803</v>
      </c>
      <c r="L30" s="108">
        <f t="shared" si="1"/>
        <v>55149.97</v>
      </c>
      <c r="M30" s="108">
        <v>158</v>
      </c>
      <c r="N30" s="108">
        <v>1215.25</v>
      </c>
      <c r="O30" s="108">
        <v>1886</v>
      </c>
      <c r="P30" s="108">
        <v>28289.1</v>
      </c>
      <c r="Q30" s="108">
        <v>11374</v>
      </c>
      <c r="R30" s="108">
        <v>19035.78</v>
      </c>
      <c r="S30" s="108">
        <v>73</v>
      </c>
      <c r="T30" s="108">
        <v>169699.47</v>
      </c>
      <c r="U30" s="108">
        <f t="shared" si="2"/>
        <v>16294</v>
      </c>
      <c r="V30" s="108">
        <f t="shared" si="3"/>
        <v>273389.57</v>
      </c>
      <c r="W30" s="120">
        <f>'Pri Sec_outstanding_6'!P30</f>
        <v>569588.13</v>
      </c>
      <c r="X30" s="120">
        <f t="shared" si="4"/>
        <v>842977.7</v>
      </c>
      <c r="Y30" s="120">
        <f>'CD Ratio_3(i)'!F30</f>
        <v>842977.7</v>
      </c>
      <c r="Z30" s="120">
        <f t="shared" si="5"/>
        <v>0</v>
      </c>
    </row>
    <row r="31" spans="1:26" ht="15" customHeight="1" x14ac:dyDescent="0.2">
      <c r="A31" s="131">
        <v>26</v>
      </c>
      <c r="B31" s="134" t="s">
        <v>68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f t="shared" si="0"/>
        <v>0</v>
      </c>
      <c r="L31" s="108">
        <f t="shared" si="1"/>
        <v>0</v>
      </c>
      <c r="M31" s="108">
        <v>0</v>
      </c>
      <c r="N31" s="108">
        <v>0</v>
      </c>
      <c r="O31" s="108">
        <v>22</v>
      </c>
      <c r="P31" s="108">
        <v>272</v>
      </c>
      <c r="Q31" s="108">
        <v>0</v>
      </c>
      <c r="R31" s="108">
        <v>0</v>
      </c>
      <c r="S31" s="108">
        <v>295</v>
      </c>
      <c r="T31" s="108">
        <v>13489</v>
      </c>
      <c r="U31" s="108">
        <f t="shared" si="2"/>
        <v>317</v>
      </c>
      <c r="V31" s="108">
        <f t="shared" si="3"/>
        <v>13761</v>
      </c>
      <c r="W31" s="120">
        <f>'Pri Sec_outstanding_6'!P31</f>
        <v>12183</v>
      </c>
      <c r="X31" s="120">
        <f t="shared" si="4"/>
        <v>25944</v>
      </c>
      <c r="Y31" s="120">
        <f>'CD Ratio_3(i)'!F31</f>
        <v>25944</v>
      </c>
      <c r="Z31" s="120">
        <f t="shared" si="5"/>
        <v>0</v>
      </c>
    </row>
    <row r="32" spans="1:26" ht="15" customHeight="1" x14ac:dyDescent="0.2">
      <c r="A32" s="131">
        <v>27</v>
      </c>
      <c r="B32" s="128" t="s">
        <v>51</v>
      </c>
      <c r="C32" s="108">
        <v>0</v>
      </c>
      <c r="D32" s="108">
        <v>0</v>
      </c>
      <c r="E32" s="108">
        <v>0</v>
      </c>
      <c r="F32" s="108">
        <v>0</v>
      </c>
      <c r="G32" s="108">
        <v>4</v>
      </c>
      <c r="H32" s="108">
        <v>324</v>
      </c>
      <c r="I32" s="108">
        <v>5</v>
      </c>
      <c r="J32" s="108">
        <v>785.48</v>
      </c>
      <c r="K32" s="108">
        <f t="shared" si="0"/>
        <v>9</v>
      </c>
      <c r="L32" s="108">
        <f t="shared" si="1"/>
        <v>1109.48</v>
      </c>
      <c r="M32" s="108">
        <v>0</v>
      </c>
      <c r="N32" s="108">
        <v>0</v>
      </c>
      <c r="O32" s="108">
        <v>246</v>
      </c>
      <c r="P32" s="108">
        <v>4565</v>
      </c>
      <c r="Q32" s="108">
        <v>447</v>
      </c>
      <c r="R32" s="108">
        <v>619.52</v>
      </c>
      <c r="S32" s="108">
        <v>994</v>
      </c>
      <c r="T32" s="108">
        <v>9545</v>
      </c>
      <c r="U32" s="108">
        <f t="shared" si="2"/>
        <v>1696</v>
      </c>
      <c r="V32" s="108">
        <f t="shared" si="3"/>
        <v>15839</v>
      </c>
      <c r="W32" s="120">
        <f>'Pri Sec_outstanding_6'!P32</f>
        <v>61937.59</v>
      </c>
      <c r="X32" s="120">
        <f t="shared" si="4"/>
        <v>77776.59</v>
      </c>
      <c r="Y32" s="120">
        <f>'CD Ratio_3(i)'!F32</f>
        <v>77777</v>
      </c>
      <c r="Z32" s="120">
        <f t="shared" si="5"/>
        <v>-0.41000000000349246</v>
      </c>
    </row>
    <row r="33" spans="1:26" s="121" customFormat="1" ht="15" customHeight="1" x14ac:dyDescent="0.2">
      <c r="A33" s="271"/>
      <c r="B33" s="133" t="s">
        <v>407</v>
      </c>
      <c r="C33" s="115">
        <f>SUM(C6:C32)</f>
        <v>17023</v>
      </c>
      <c r="D33" s="115">
        <f t="shared" ref="D33:F33" si="6">SUM(D6:D32)</f>
        <v>142816.93</v>
      </c>
      <c r="E33" s="115">
        <f t="shared" si="6"/>
        <v>4492</v>
      </c>
      <c r="F33" s="115">
        <f t="shared" si="6"/>
        <v>54766.2</v>
      </c>
      <c r="G33" s="115">
        <f>SUM(G6:G32)</f>
        <v>942</v>
      </c>
      <c r="H33" s="115">
        <f t="shared" ref="H33:T33" si="7">SUM(H6:H32)</f>
        <v>130420.43</v>
      </c>
      <c r="I33" s="115">
        <f t="shared" si="7"/>
        <v>485</v>
      </c>
      <c r="J33" s="115">
        <f t="shared" si="7"/>
        <v>312284.59999999998</v>
      </c>
      <c r="K33" s="115">
        <f t="shared" si="7"/>
        <v>5919</v>
      </c>
      <c r="L33" s="115">
        <f t="shared" si="7"/>
        <v>497471.23</v>
      </c>
      <c r="M33" s="115">
        <f t="shared" si="7"/>
        <v>3422</v>
      </c>
      <c r="N33" s="115">
        <f t="shared" si="7"/>
        <v>33743.29</v>
      </c>
      <c r="O33" s="115">
        <f t="shared" si="7"/>
        <v>23093</v>
      </c>
      <c r="P33" s="115">
        <f t="shared" si="7"/>
        <v>540160.49</v>
      </c>
      <c r="Q33" s="115">
        <f t="shared" si="7"/>
        <v>146942</v>
      </c>
      <c r="R33" s="115">
        <f t="shared" si="7"/>
        <v>938011.55</v>
      </c>
      <c r="S33" s="115">
        <f t="shared" si="7"/>
        <v>122953</v>
      </c>
      <c r="T33" s="115">
        <f t="shared" si="7"/>
        <v>4160347.88</v>
      </c>
      <c r="U33" s="115">
        <f t="shared" si="2"/>
        <v>319352</v>
      </c>
      <c r="V33" s="115">
        <f t="shared" si="3"/>
        <v>6312551.3699999992</v>
      </c>
      <c r="W33" s="120">
        <f>'Pri Sec_outstanding_6'!P33</f>
        <v>9075422.8099999987</v>
      </c>
      <c r="X33" s="120">
        <f t="shared" si="4"/>
        <v>15387974.179999998</v>
      </c>
      <c r="Y33" s="120">
        <f>'CD Ratio_3(i)'!F33</f>
        <v>15387974.490000002</v>
      </c>
      <c r="Z33" s="120">
        <f t="shared" si="5"/>
        <v>-0.31000000424683094</v>
      </c>
    </row>
    <row r="34" spans="1:26" ht="15" customHeight="1" x14ac:dyDescent="0.2">
      <c r="A34" s="131">
        <v>28</v>
      </c>
      <c r="B34" s="128" t="s">
        <v>48</v>
      </c>
      <c r="C34" s="108">
        <v>0</v>
      </c>
      <c r="D34" s="108">
        <v>0</v>
      </c>
      <c r="E34" s="108">
        <v>131</v>
      </c>
      <c r="F34" s="108">
        <v>511.6</v>
      </c>
      <c r="G34" s="108">
        <v>15</v>
      </c>
      <c r="H34" s="108">
        <v>3140</v>
      </c>
      <c r="I34" s="108">
        <v>26</v>
      </c>
      <c r="J34" s="108">
        <v>9176.74</v>
      </c>
      <c r="K34" s="108">
        <f t="shared" si="0"/>
        <v>172</v>
      </c>
      <c r="L34" s="108">
        <f t="shared" si="1"/>
        <v>12828.34</v>
      </c>
      <c r="M34" s="108">
        <v>17</v>
      </c>
      <c r="N34" s="108">
        <v>196.29</v>
      </c>
      <c r="O34" s="108">
        <v>2124</v>
      </c>
      <c r="P34" s="108">
        <v>74818.38</v>
      </c>
      <c r="Q34" s="108">
        <v>5716</v>
      </c>
      <c r="R34" s="108">
        <v>44862.04</v>
      </c>
      <c r="S34" s="108">
        <v>13145</v>
      </c>
      <c r="T34" s="108">
        <v>168384.95</v>
      </c>
      <c r="U34" s="108">
        <f t="shared" si="2"/>
        <v>21174</v>
      </c>
      <c r="V34" s="108">
        <f t="shared" si="3"/>
        <v>301090</v>
      </c>
      <c r="W34" s="120">
        <f>'Pri Sec_outstanding_6'!P34</f>
        <v>291162.76</v>
      </c>
      <c r="X34" s="120">
        <f t="shared" si="4"/>
        <v>592252.76</v>
      </c>
      <c r="Y34" s="120">
        <f>'CD Ratio_3(i)'!F34</f>
        <v>592252.67000000004</v>
      </c>
      <c r="Z34" s="120">
        <f t="shared" si="5"/>
        <v>8.999999996740371E-2</v>
      </c>
    </row>
    <row r="35" spans="1:26" ht="15" customHeight="1" x14ac:dyDescent="0.2">
      <c r="A35" s="131">
        <v>29</v>
      </c>
      <c r="B35" s="128" t="s">
        <v>216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f t="shared" si="0"/>
        <v>0</v>
      </c>
      <c r="L35" s="108">
        <f t="shared" si="1"/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13895</v>
      </c>
      <c r="T35" s="108">
        <f>1823+4515</f>
        <v>6338</v>
      </c>
      <c r="U35" s="108">
        <f t="shared" si="2"/>
        <v>13895</v>
      </c>
      <c r="V35" s="108">
        <f t="shared" si="3"/>
        <v>6338</v>
      </c>
      <c r="W35" s="120">
        <f>'Pri Sec_outstanding_6'!P35</f>
        <v>44014</v>
      </c>
      <c r="X35" s="120">
        <f t="shared" si="4"/>
        <v>50352</v>
      </c>
      <c r="Y35" s="120">
        <f>'CD Ratio_3(i)'!F35</f>
        <v>50352</v>
      </c>
      <c r="Z35" s="120">
        <f t="shared" si="5"/>
        <v>0</v>
      </c>
    </row>
    <row r="36" spans="1:26" ht="15" customHeight="1" x14ac:dyDescent="0.2">
      <c r="A36" s="131">
        <v>30</v>
      </c>
      <c r="B36" s="108" t="s">
        <v>217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f t="shared" si="0"/>
        <v>0</v>
      </c>
      <c r="L36" s="108">
        <f t="shared" si="1"/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703</v>
      </c>
      <c r="U36" s="108">
        <f t="shared" si="2"/>
        <v>0</v>
      </c>
      <c r="V36" s="108">
        <f t="shared" si="3"/>
        <v>703</v>
      </c>
      <c r="W36" s="120">
        <f>'Pri Sec_outstanding_6'!P36</f>
        <v>0</v>
      </c>
      <c r="X36" s="120">
        <f t="shared" si="4"/>
        <v>703</v>
      </c>
      <c r="Y36" s="120">
        <f>'CD Ratio_3(i)'!F36</f>
        <v>703</v>
      </c>
      <c r="Z36" s="120">
        <f t="shared" si="5"/>
        <v>0</v>
      </c>
    </row>
    <row r="37" spans="1:26" ht="15" customHeight="1" x14ac:dyDescent="0.2">
      <c r="A37" s="131">
        <v>31</v>
      </c>
      <c r="B37" s="108" t="s">
        <v>79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f t="shared" si="0"/>
        <v>0</v>
      </c>
      <c r="L37" s="108">
        <f t="shared" si="1"/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8">
        <v>0</v>
      </c>
      <c r="S37" s="108">
        <v>0</v>
      </c>
      <c r="T37" s="108">
        <v>34909</v>
      </c>
      <c r="U37" s="108">
        <f t="shared" si="2"/>
        <v>0</v>
      </c>
      <c r="V37" s="108">
        <f t="shared" si="3"/>
        <v>34909</v>
      </c>
      <c r="W37" s="120">
        <f>'Pri Sec_outstanding_6'!P37</f>
        <v>0</v>
      </c>
      <c r="X37" s="120">
        <f t="shared" si="4"/>
        <v>34909</v>
      </c>
      <c r="Y37" s="120">
        <f>'CD Ratio_3(i)'!F37</f>
        <v>34909</v>
      </c>
      <c r="Z37" s="120">
        <f t="shared" si="5"/>
        <v>0</v>
      </c>
    </row>
    <row r="38" spans="1:26" ht="15" customHeight="1" x14ac:dyDescent="0.2">
      <c r="A38" s="131">
        <v>32</v>
      </c>
      <c r="B38" s="108" t="s">
        <v>52</v>
      </c>
      <c r="C38" s="108">
        <v>0</v>
      </c>
      <c r="D38" s="108">
        <v>0</v>
      </c>
      <c r="E38" s="108">
        <v>4</v>
      </c>
      <c r="F38" s="108">
        <v>64.36</v>
      </c>
      <c r="G38" s="108">
        <v>1</v>
      </c>
      <c r="H38" s="108">
        <v>23.54</v>
      </c>
      <c r="I38" s="108">
        <v>4</v>
      </c>
      <c r="J38" s="108">
        <v>1015.2</v>
      </c>
      <c r="K38" s="108">
        <f t="shared" si="0"/>
        <v>9</v>
      </c>
      <c r="L38" s="108">
        <f t="shared" si="1"/>
        <v>1103.1000000000001</v>
      </c>
      <c r="M38" s="108">
        <v>1</v>
      </c>
      <c r="N38" s="108">
        <v>17.93</v>
      </c>
      <c r="O38" s="108">
        <v>12</v>
      </c>
      <c r="P38" s="108">
        <v>410.08</v>
      </c>
      <c r="Q38" s="108">
        <v>87</v>
      </c>
      <c r="R38" s="108">
        <v>196.51</v>
      </c>
      <c r="S38" s="108">
        <v>64</v>
      </c>
      <c r="T38" s="108">
        <v>2307.9899999999998</v>
      </c>
      <c r="U38" s="108">
        <f t="shared" si="2"/>
        <v>173</v>
      </c>
      <c r="V38" s="108">
        <f t="shared" si="3"/>
        <v>4035.6099999999997</v>
      </c>
      <c r="W38" s="120">
        <f>'Pri Sec_outstanding_6'!P38</f>
        <v>4601.0199999999995</v>
      </c>
      <c r="X38" s="120">
        <f t="shared" si="4"/>
        <v>8636.6299999999992</v>
      </c>
      <c r="Y38" s="120">
        <f>'CD Ratio_3(i)'!F38</f>
        <v>8636.6299999999992</v>
      </c>
      <c r="Z38" s="120">
        <f t="shared" si="5"/>
        <v>0</v>
      </c>
    </row>
    <row r="39" spans="1:26" ht="15" customHeight="1" x14ac:dyDescent="0.2">
      <c r="A39" s="131">
        <v>33</v>
      </c>
      <c r="B39" s="108" t="s">
        <v>218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f t="shared" si="0"/>
        <v>0</v>
      </c>
      <c r="L39" s="108">
        <f t="shared" si="1"/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>
        <v>0</v>
      </c>
      <c r="S39" s="108">
        <v>0</v>
      </c>
      <c r="T39" s="108">
        <v>44795</v>
      </c>
      <c r="U39" s="108">
        <f t="shared" si="2"/>
        <v>0</v>
      </c>
      <c r="V39" s="108">
        <f t="shared" si="3"/>
        <v>44795</v>
      </c>
      <c r="W39" s="120">
        <f>'Pri Sec_outstanding_6'!P39</f>
        <v>0</v>
      </c>
      <c r="X39" s="120">
        <f t="shared" si="4"/>
        <v>44795</v>
      </c>
      <c r="Y39" s="120">
        <f>'CD Ratio_3(i)'!F39</f>
        <v>44795</v>
      </c>
      <c r="Z39" s="120">
        <f t="shared" si="5"/>
        <v>0</v>
      </c>
    </row>
    <row r="40" spans="1:26" ht="15" customHeight="1" x14ac:dyDescent="0.2">
      <c r="A40" s="131">
        <v>34</v>
      </c>
      <c r="B40" s="128" t="s">
        <v>219</v>
      </c>
      <c r="C40" s="108">
        <v>0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f t="shared" si="0"/>
        <v>0</v>
      </c>
      <c r="L40" s="108">
        <f t="shared" si="1"/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28</v>
      </c>
      <c r="T40" s="108">
        <v>27.89</v>
      </c>
      <c r="U40" s="108">
        <f t="shared" si="2"/>
        <v>28</v>
      </c>
      <c r="V40" s="108">
        <f t="shared" si="3"/>
        <v>27.89</v>
      </c>
      <c r="W40" s="120">
        <f>'Pri Sec_outstanding_6'!P40</f>
        <v>0</v>
      </c>
      <c r="X40" s="120">
        <f t="shared" si="4"/>
        <v>27.89</v>
      </c>
      <c r="Y40" s="120">
        <f>'CD Ratio_3(i)'!F40</f>
        <v>27.89</v>
      </c>
      <c r="Z40" s="120">
        <f t="shared" si="5"/>
        <v>0</v>
      </c>
    </row>
    <row r="41" spans="1:26" ht="15" customHeight="1" x14ac:dyDescent="0.2">
      <c r="A41" s="131">
        <v>35</v>
      </c>
      <c r="B41" s="128" t="s">
        <v>220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f t="shared" si="0"/>
        <v>0</v>
      </c>
      <c r="L41" s="108">
        <f t="shared" si="1"/>
        <v>0</v>
      </c>
      <c r="M41" s="108">
        <v>0</v>
      </c>
      <c r="N41" s="108">
        <v>0</v>
      </c>
      <c r="O41" s="108">
        <v>21</v>
      </c>
      <c r="P41" s="108">
        <v>402.14</v>
      </c>
      <c r="Q41" s="108">
        <v>29</v>
      </c>
      <c r="R41" s="108">
        <v>55.62</v>
      </c>
      <c r="S41" s="108">
        <v>2466</v>
      </c>
      <c r="T41" s="108">
        <v>5601.42</v>
      </c>
      <c r="U41" s="108">
        <f t="shared" si="2"/>
        <v>2516</v>
      </c>
      <c r="V41" s="108">
        <f t="shared" si="3"/>
        <v>6059.18</v>
      </c>
      <c r="W41" s="120">
        <f>'Pri Sec_outstanding_6'!P41</f>
        <v>10211.11</v>
      </c>
      <c r="X41" s="120">
        <f t="shared" si="4"/>
        <v>16270.29</v>
      </c>
      <c r="Y41" s="120">
        <f>'CD Ratio_3(i)'!F41</f>
        <v>16270.29</v>
      </c>
      <c r="Z41" s="120">
        <f t="shared" si="5"/>
        <v>0</v>
      </c>
    </row>
    <row r="42" spans="1:26" ht="15" customHeight="1" x14ac:dyDescent="0.2">
      <c r="A42" s="131">
        <v>36</v>
      </c>
      <c r="B42" s="128" t="s">
        <v>72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f t="shared" si="0"/>
        <v>0</v>
      </c>
      <c r="L42" s="108">
        <f t="shared" si="1"/>
        <v>0</v>
      </c>
      <c r="M42" s="108">
        <v>24</v>
      </c>
      <c r="N42" s="108">
        <v>33</v>
      </c>
      <c r="O42" s="108">
        <v>0</v>
      </c>
      <c r="P42" s="108">
        <v>0</v>
      </c>
      <c r="Q42" s="108">
        <v>6496</v>
      </c>
      <c r="R42" s="108">
        <v>18107</v>
      </c>
      <c r="S42" s="108">
        <v>30871</v>
      </c>
      <c r="T42" s="108">
        <f>474284+8</f>
        <v>474292</v>
      </c>
      <c r="U42" s="108">
        <f t="shared" si="2"/>
        <v>37391</v>
      </c>
      <c r="V42" s="108">
        <f t="shared" si="3"/>
        <v>492432</v>
      </c>
      <c r="W42" s="120">
        <f>'Pri Sec_outstanding_6'!P42</f>
        <v>668679</v>
      </c>
      <c r="X42" s="120">
        <f t="shared" si="4"/>
        <v>1161111</v>
      </c>
      <c r="Y42" s="120">
        <f>'CD Ratio_3(i)'!F42</f>
        <v>1161111</v>
      </c>
      <c r="Z42" s="120">
        <f t="shared" si="5"/>
        <v>0</v>
      </c>
    </row>
    <row r="43" spans="1:26" ht="15" customHeight="1" x14ac:dyDescent="0.2">
      <c r="A43" s="131">
        <v>37</v>
      </c>
      <c r="B43" s="128" t="s">
        <v>73</v>
      </c>
      <c r="C43" s="108">
        <v>0</v>
      </c>
      <c r="D43" s="108">
        <v>0</v>
      </c>
      <c r="E43" s="108">
        <v>4154</v>
      </c>
      <c r="F43" s="108">
        <v>2366.9499999999998</v>
      </c>
      <c r="G43" s="108">
        <v>19</v>
      </c>
      <c r="H43" s="108">
        <v>1703.04</v>
      </c>
      <c r="I43" s="108">
        <v>55</v>
      </c>
      <c r="J43" s="108">
        <v>5564.38</v>
      </c>
      <c r="K43" s="108">
        <f t="shared" si="0"/>
        <v>4228</v>
      </c>
      <c r="L43" s="108">
        <f t="shared" si="1"/>
        <v>9634.369999999999</v>
      </c>
      <c r="M43" s="108">
        <v>0</v>
      </c>
      <c r="N43" s="108">
        <v>0</v>
      </c>
      <c r="O43" s="108">
        <v>3739</v>
      </c>
      <c r="P43" s="108">
        <v>78039.179999999993</v>
      </c>
      <c r="Q43" s="108">
        <v>0</v>
      </c>
      <c r="R43" s="108">
        <v>0</v>
      </c>
      <c r="S43" s="108">
        <v>47869</v>
      </c>
      <c r="T43" s="108">
        <v>487105.31</v>
      </c>
      <c r="U43" s="108">
        <f t="shared" si="2"/>
        <v>55836</v>
      </c>
      <c r="V43" s="108">
        <f t="shared" si="3"/>
        <v>574778.86</v>
      </c>
      <c r="W43" s="120">
        <f>'Pri Sec_outstanding_6'!P43</f>
        <v>466369.14</v>
      </c>
      <c r="X43" s="120">
        <f t="shared" si="4"/>
        <v>1041148</v>
      </c>
      <c r="Y43" s="120">
        <f>'CD Ratio_3(i)'!F43</f>
        <v>1041147.98</v>
      </c>
      <c r="Z43" s="120">
        <f t="shared" si="5"/>
        <v>2.0000000018626451E-2</v>
      </c>
    </row>
    <row r="44" spans="1:26" ht="15" customHeight="1" x14ac:dyDescent="0.2">
      <c r="A44" s="131">
        <v>38</v>
      </c>
      <c r="B44" s="128" t="s">
        <v>221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f t="shared" si="0"/>
        <v>0</v>
      </c>
      <c r="L44" s="108">
        <f t="shared" si="1"/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f t="shared" si="2"/>
        <v>0</v>
      </c>
      <c r="V44" s="108">
        <f t="shared" si="3"/>
        <v>0</v>
      </c>
      <c r="W44" s="120">
        <f>'Pri Sec_outstanding_6'!P44</f>
        <v>8798</v>
      </c>
      <c r="X44" s="120">
        <f t="shared" si="4"/>
        <v>8798</v>
      </c>
      <c r="Y44" s="120">
        <f>'CD Ratio_3(i)'!F44</f>
        <v>8798</v>
      </c>
      <c r="Z44" s="120">
        <f t="shared" si="5"/>
        <v>0</v>
      </c>
    </row>
    <row r="45" spans="1:26" ht="15" customHeight="1" x14ac:dyDescent="0.2">
      <c r="A45" s="131">
        <v>39</v>
      </c>
      <c r="B45" s="128" t="s">
        <v>222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f t="shared" si="0"/>
        <v>0</v>
      </c>
      <c r="L45" s="108">
        <f t="shared" si="1"/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107146</v>
      </c>
      <c r="U45" s="108">
        <f t="shared" si="2"/>
        <v>0</v>
      </c>
      <c r="V45" s="108">
        <f t="shared" si="3"/>
        <v>107146</v>
      </c>
      <c r="W45" s="120">
        <f>'Pri Sec_outstanding_6'!P45</f>
        <v>141678.98260969998</v>
      </c>
      <c r="X45" s="120">
        <f t="shared" si="4"/>
        <v>248824.98260969998</v>
      </c>
      <c r="Y45" s="120">
        <f>'CD Ratio_3(i)'!F45</f>
        <v>248825</v>
      </c>
      <c r="Z45" s="120">
        <f t="shared" si="5"/>
        <v>-1.7390300024999306E-2</v>
      </c>
    </row>
    <row r="46" spans="1:26" ht="15" customHeight="1" x14ac:dyDescent="0.2">
      <c r="A46" s="131">
        <v>40</v>
      </c>
      <c r="B46" s="128" t="s">
        <v>223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f t="shared" si="0"/>
        <v>0</v>
      </c>
      <c r="L46" s="108">
        <f t="shared" si="1"/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2755</v>
      </c>
      <c r="U46" s="108">
        <f t="shared" si="2"/>
        <v>0</v>
      </c>
      <c r="V46" s="108">
        <f t="shared" si="3"/>
        <v>2755</v>
      </c>
      <c r="W46" s="120">
        <f>'Pri Sec_outstanding_6'!P46</f>
        <v>781</v>
      </c>
      <c r="X46" s="120">
        <f t="shared" si="4"/>
        <v>3536</v>
      </c>
      <c r="Y46" s="120">
        <f>'CD Ratio_3(i)'!F46</f>
        <v>3536</v>
      </c>
      <c r="Z46" s="120">
        <f t="shared" si="5"/>
        <v>0</v>
      </c>
    </row>
    <row r="47" spans="1:26" ht="15" customHeight="1" x14ac:dyDescent="0.2">
      <c r="A47" s="131">
        <v>41</v>
      </c>
      <c r="B47" s="128" t="s">
        <v>224</v>
      </c>
      <c r="C47" s="108">
        <v>0</v>
      </c>
      <c r="D47" s="108">
        <v>0</v>
      </c>
      <c r="E47" s="108">
        <v>1</v>
      </c>
      <c r="F47" s="108">
        <v>14.12</v>
      </c>
      <c r="G47" s="108">
        <v>18</v>
      </c>
      <c r="H47" s="108">
        <v>190.48</v>
      </c>
      <c r="I47" s="108">
        <v>86</v>
      </c>
      <c r="J47" s="108">
        <v>3136.18</v>
      </c>
      <c r="K47" s="108">
        <f t="shared" si="0"/>
        <v>105</v>
      </c>
      <c r="L47" s="108">
        <f t="shared" si="1"/>
        <v>3340.7799999999997</v>
      </c>
      <c r="M47" s="108">
        <v>0</v>
      </c>
      <c r="N47" s="108">
        <v>0</v>
      </c>
      <c r="O47" s="108">
        <v>49</v>
      </c>
      <c r="P47" s="108">
        <v>1017.68</v>
      </c>
      <c r="Q47" s="108">
        <v>6</v>
      </c>
      <c r="R47" s="108">
        <v>38.44</v>
      </c>
      <c r="S47" s="108">
        <v>175</v>
      </c>
      <c r="T47" s="108">
        <v>6807.78</v>
      </c>
      <c r="U47" s="108">
        <f t="shared" si="2"/>
        <v>335</v>
      </c>
      <c r="V47" s="108">
        <f t="shared" si="3"/>
        <v>11204.68</v>
      </c>
      <c r="W47" s="120">
        <f>'Pri Sec_outstanding_6'!P47</f>
        <v>22223.32</v>
      </c>
      <c r="X47" s="120">
        <f t="shared" si="4"/>
        <v>33428</v>
      </c>
      <c r="Y47" s="120">
        <f>'CD Ratio_3(i)'!F47</f>
        <v>33428</v>
      </c>
      <c r="Z47" s="120">
        <f t="shared" si="5"/>
        <v>0</v>
      </c>
    </row>
    <row r="48" spans="1:26" ht="15" customHeight="1" x14ac:dyDescent="0.2">
      <c r="A48" s="131">
        <v>42</v>
      </c>
      <c r="B48" s="128" t="s">
        <v>225</v>
      </c>
      <c r="C48" s="108">
        <v>0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f t="shared" si="0"/>
        <v>0</v>
      </c>
      <c r="L48" s="108">
        <f t="shared" si="1"/>
        <v>0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20588</v>
      </c>
      <c r="U48" s="108">
        <f t="shared" si="2"/>
        <v>0</v>
      </c>
      <c r="V48" s="108">
        <f t="shared" si="3"/>
        <v>20588</v>
      </c>
      <c r="W48" s="120">
        <f>'Pri Sec_outstanding_6'!P48</f>
        <v>0</v>
      </c>
      <c r="X48" s="120">
        <f t="shared" si="4"/>
        <v>20588</v>
      </c>
      <c r="Y48" s="120">
        <f>'CD Ratio_3(i)'!F48</f>
        <v>20588</v>
      </c>
      <c r="Z48" s="120">
        <f t="shared" si="5"/>
        <v>0</v>
      </c>
    </row>
    <row r="49" spans="1:26" ht="15" customHeight="1" x14ac:dyDescent="0.2">
      <c r="A49" s="131">
        <v>43</v>
      </c>
      <c r="B49" s="135" t="s">
        <v>74</v>
      </c>
      <c r="C49" s="108">
        <v>0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f t="shared" si="0"/>
        <v>0</v>
      </c>
      <c r="L49" s="108">
        <f t="shared" si="1"/>
        <v>0</v>
      </c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3890</v>
      </c>
      <c r="T49" s="108">
        <v>57525</v>
      </c>
      <c r="U49" s="108">
        <f t="shared" si="2"/>
        <v>3890</v>
      </c>
      <c r="V49" s="108">
        <f t="shared" si="3"/>
        <v>57525</v>
      </c>
      <c r="W49" s="120">
        <f>'Pri Sec_outstanding_6'!P49</f>
        <v>146462</v>
      </c>
      <c r="X49" s="120">
        <f t="shared" si="4"/>
        <v>203987</v>
      </c>
      <c r="Y49" s="120">
        <f>'CD Ratio_3(i)'!F49</f>
        <v>203987</v>
      </c>
      <c r="Z49" s="120">
        <f t="shared" si="5"/>
        <v>0</v>
      </c>
    </row>
    <row r="50" spans="1:26" ht="15" customHeight="1" x14ac:dyDescent="0.2">
      <c r="A50" s="131">
        <v>44</v>
      </c>
      <c r="B50" s="128" t="s">
        <v>226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f t="shared" si="0"/>
        <v>0</v>
      </c>
      <c r="L50" s="108">
        <f t="shared" si="1"/>
        <v>0</v>
      </c>
      <c r="M50" s="108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47</v>
      </c>
      <c r="T50" s="108">
        <f>3483-78</f>
        <v>3405</v>
      </c>
      <c r="U50" s="108">
        <f t="shared" si="2"/>
        <v>47</v>
      </c>
      <c r="V50" s="108">
        <f t="shared" si="3"/>
        <v>3405</v>
      </c>
      <c r="W50" s="120">
        <f>'Pri Sec_outstanding_6'!P50</f>
        <v>825</v>
      </c>
      <c r="X50" s="120">
        <f t="shared" si="4"/>
        <v>4230</v>
      </c>
      <c r="Y50" s="120">
        <f>'CD Ratio_3(i)'!F50</f>
        <v>4230</v>
      </c>
      <c r="Z50" s="120">
        <f t="shared" si="5"/>
        <v>0</v>
      </c>
    </row>
    <row r="51" spans="1:26" ht="15" customHeight="1" x14ac:dyDescent="0.2">
      <c r="A51" s="131">
        <v>45</v>
      </c>
      <c r="B51" s="128" t="s">
        <v>227</v>
      </c>
      <c r="C51" s="108">
        <v>1</v>
      </c>
      <c r="D51" s="108">
        <v>358</v>
      </c>
      <c r="E51" s="108">
        <v>0</v>
      </c>
      <c r="F51" s="108">
        <v>0</v>
      </c>
      <c r="G51" s="108">
        <v>0</v>
      </c>
      <c r="H51" s="108">
        <v>0</v>
      </c>
      <c r="I51" s="108">
        <v>1</v>
      </c>
      <c r="J51" s="108">
        <v>4147</v>
      </c>
      <c r="K51" s="108">
        <f t="shared" si="0"/>
        <v>1</v>
      </c>
      <c r="L51" s="108">
        <f t="shared" si="1"/>
        <v>4147</v>
      </c>
      <c r="M51" s="108">
        <v>0</v>
      </c>
      <c r="N51" s="108">
        <v>0</v>
      </c>
      <c r="O51" s="108">
        <v>2</v>
      </c>
      <c r="P51" s="108">
        <v>46</v>
      </c>
      <c r="Q51" s="108">
        <v>31</v>
      </c>
      <c r="R51" s="108">
        <v>81</v>
      </c>
      <c r="S51" s="108">
        <v>37</v>
      </c>
      <c r="T51" s="108">
        <v>27970</v>
      </c>
      <c r="U51" s="108">
        <f t="shared" si="2"/>
        <v>72</v>
      </c>
      <c r="V51" s="108">
        <f t="shared" si="3"/>
        <v>32602</v>
      </c>
      <c r="W51" s="120">
        <f>'Pri Sec_outstanding_6'!P51</f>
        <v>49474</v>
      </c>
      <c r="X51" s="120">
        <f t="shared" si="4"/>
        <v>82076</v>
      </c>
      <c r="Y51" s="120">
        <f>'CD Ratio_3(i)'!F51</f>
        <v>82076</v>
      </c>
      <c r="Z51" s="120">
        <f t="shared" si="5"/>
        <v>0</v>
      </c>
    </row>
    <row r="52" spans="1:26" ht="15" customHeight="1" x14ac:dyDescent="0.2">
      <c r="A52" s="131">
        <v>46</v>
      </c>
      <c r="B52" s="128" t="s">
        <v>228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f t="shared" si="0"/>
        <v>0</v>
      </c>
      <c r="L52" s="108">
        <f t="shared" si="1"/>
        <v>0</v>
      </c>
      <c r="M52" s="108">
        <v>0</v>
      </c>
      <c r="N52" s="108">
        <v>0</v>
      </c>
      <c r="O52" s="108">
        <v>3</v>
      </c>
      <c r="P52" s="108">
        <v>135.35</v>
      </c>
      <c r="Q52" s="108">
        <v>10</v>
      </c>
      <c r="R52" s="108">
        <v>29.02</v>
      </c>
      <c r="S52" s="108">
        <v>0</v>
      </c>
      <c r="T52" s="108">
        <v>0</v>
      </c>
      <c r="U52" s="108">
        <f t="shared" si="2"/>
        <v>13</v>
      </c>
      <c r="V52" s="108">
        <f t="shared" si="3"/>
        <v>164.37</v>
      </c>
      <c r="W52" s="120">
        <f>'Pri Sec_outstanding_6'!P52</f>
        <v>4673.08</v>
      </c>
      <c r="X52" s="120">
        <f t="shared" si="4"/>
        <v>4837.45</v>
      </c>
      <c r="Y52" s="120">
        <f>'CD Ratio_3(i)'!F52</f>
        <v>4837.21</v>
      </c>
      <c r="Z52" s="120">
        <f t="shared" si="5"/>
        <v>0.23999999999978172</v>
      </c>
    </row>
    <row r="53" spans="1:26" ht="15" customHeight="1" x14ac:dyDescent="0.2">
      <c r="A53" s="131">
        <v>47</v>
      </c>
      <c r="B53" s="128" t="s">
        <v>78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f t="shared" si="0"/>
        <v>0</v>
      </c>
      <c r="L53" s="108">
        <f t="shared" si="1"/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5051</v>
      </c>
      <c r="U53" s="108">
        <f t="shared" si="2"/>
        <v>0</v>
      </c>
      <c r="V53" s="108">
        <f t="shared" si="3"/>
        <v>5051</v>
      </c>
      <c r="W53" s="120">
        <f>'Pri Sec_outstanding_6'!P53</f>
        <v>0</v>
      </c>
      <c r="X53" s="120">
        <f t="shared" si="4"/>
        <v>5051</v>
      </c>
      <c r="Y53" s="120">
        <f>'CD Ratio_3(i)'!F53</f>
        <v>5051</v>
      </c>
      <c r="Z53" s="120">
        <f t="shared" si="5"/>
        <v>0</v>
      </c>
    </row>
    <row r="54" spans="1:26" ht="15" customHeight="1" x14ac:dyDescent="0.2">
      <c r="A54" s="131">
        <v>48</v>
      </c>
      <c r="B54" s="128" t="s">
        <v>229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f t="shared" si="0"/>
        <v>0</v>
      </c>
      <c r="L54" s="108">
        <f t="shared" si="1"/>
        <v>0</v>
      </c>
      <c r="M54" s="108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5004</v>
      </c>
      <c r="U54" s="108">
        <f t="shared" si="2"/>
        <v>0</v>
      </c>
      <c r="V54" s="108">
        <f t="shared" si="3"/>
        <v>5004</v>
      </c>
      <c r="W54" s="120">
        <f>'Pri Sec_outstanding_6'!P54</f>
        <v>0</v>
      </c>
      <c r="X54" s="120">
        <f t="shared" si="4"/>
        <v>5004</v>
      </c>
      <c r="Y54" s="120">
        <f>'CD Ratio_3(i)'!F54</f>
        <v>5004</v>
      </c>
      <c r="Z54" s="120">
        <f t="shared" si="5"/>
        <v>0</v>
      </c>
    </row>
    <row r="55" spans="1:26" ht="15" customHeight="1" x14ac:dyDescent="0.2">
      <c r="A55" s="131">
        <v>49</v>
      </c>
      <c r="B55" s="128" t="s">
        <v>77</v>
      </c>
      <c r="C55" s="108"/>
      <c r="D55" s="108"/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0</v>
      </c>
      <c r="K55" s="108">
        <f t="shared" si="0"/>
        <v>0</v>
      </c>
      <c r="L55" s="108">
        <f t="shared" si="1"/>
        <v>0</v>
      </c>
      <c r="M55" s="108">
        <v>0</v>
      </c>
      <c r="N55" s="108">
        <v>0</v>
      </c>
      <c r="O55" s="108">
        <v>12</v>
      </c>
      <c r="P55" s="108">
        <v>364</v>
      </c>
      <c r="Q55" s="108">
        <v>9</v>
      </c>
      <c r="R55" s="108">
        <v>20</v>
      </c>
      <c r="S55" s="108">
        <v>296</v>
      </c>
      <c r="T55" s="108">
        <v>10839</v>
      </c>
      <c r="U55" s="108">
        <f t="shared" si="2"/>
        <v>317</v>
      </c>
      <c r="V55" s="108">
        <f t="shared" si="3"/>
        <v>11223</v>
      </c>
      <c r="W55" s="120">
        <f>'Pri Sec_outstanding_6'!P55</f>
        <v>67709.72</v>
      </c>
      <c r="X55" s="120">
        <f t="shared" si="4"/>
        <v>78932.72</v>
      </c>
      <c r="Y55" s="120">
        <f>'CD Ratio_3(i)'!F55</f>
        <v>78933</v>
      </c>
      <c r="Z55" s="120">
        <f t="shared" si="5"/>
        <v>-0.27999999999883585</v>
      </c>
    </row>
    <row r="56" spans="1:26" s="121" customFormat="1" ht="15" customHeight="1" x14ac:dyDescent="0.2">
      <c r="A56" s="115"/>
      <c r="B56" s="133" t="s">
        <v>408</v>
      </c>
      <c r="C56" s="115">
        <f>SUM(C34:C55)</f>
        <v>1</v>
      </c>
      <c r="D56" s="115">
        <f t="shared" ref="D56:T56" si="8">SUM(D34:D55)</f>
        <v>358</v>
      </c>
      <c r="E56" s="115">
        <f t="shared" si="8"/>
        <v>4290</v>
      </c>
      <c r="F56" s="115">
        <f t="shared" si="8"/>
        <v>2957.0299999999997</v>
      </c>
      <c r="G56" s="115">
        <f t="shared" si="8"/>
        <v>53</v>
      </c>
      <c r="H56" s="115">
        <f t="shared" si="8"/>
        <v>5057.0599999999995</v>
      </c>
      <c r="I56" s="115">
        <f t="shared" si="8"/>
        <v>172</v>
      </c>
      <c r="J56" s="115">
        <f t="shared" si="8"/>
        <v>23039.5</v>
      </c>
      <c r="K56" s="115">
        <f t="shared" si="8"/>
        <v>4515</v>
      </c>
      <c r="L56" s="115">
        <f t="shared" si="8"/>
        <v>31053.589999999997</v>
      </c>
      <c r="M56" s="115">
        <f t="shared" si="8"/>
        <v>42</v>
      </c>
      <c r="N56" s="115">
        <f t="shared" si="8"/>
        <v>247.22</v>
      </c>
      <c r="O56" s="115">
        <f t="shared" si="8"/>
        <v>5962</v>
      </c>
      <c r="P56" s="115">
        <f t="shared" si="8"/>
        <v>155232.81</v>
      </c>
      <c r="Q56" s="115">
        <f t="shared" si="8"/>
        <v>12384</v>
      </c>
      <c r="R56" s="115">
        <f t="shared" si="8"/>
        <v>63389.630000000005</v>
      </c>
      <c r="S56" s="115">
        <f t="shared" si="8"/>
        <v>112783</v>
      </c>
      <c r="T56" s="115">
        <f t="shared" si="8"/>
        <v>1471555.34</v>
      </c>
      <c r="U56" s="115">
        <f t="shared" si="2"/>
        <v>135687</v>
      </c>
      <c r="V56" s="115">
        <f t="shared" si="3"/>
        <v>1721836.5900000003</v>
      </c>
      <c r="W56" s="120">
        <f>'Pri Sec_outstanding_6'!P56</f>
        <v>1927662.1326096999</v>
      </c>
      <c r="X56" s="120">
        <f t="shared" si="4"/>
        <v>3649498.7226097002</v>
      </c>
      <c r="Y56" s="120">
        <f>'CD Ratio_3(i)'!F56</f>
        <v>3649498.67</v>
      </c>
      <c r="Z56" s="120">
        <f t="shared" si="5"/>
        <v>5.2609700243920088E-2</v>
      </c>
    </row>
    <row r="57" spans="1:26" ht="15" customHeight="1" x14ac:dyDescent="0.2">
      <c r="A57" s="131">
        <v>48</v>
      </c>
      <c r="B57" s="128" t="s">
        <v>47</v>
      </c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f t="shared" si="0"/>
        <v>0</v>
      </c>
      <c r="L57" s="108">
        <f t="shared" si="1"/>
        <v>0</v>
      </c>
      <c r="M57" s="108">
        <v>0</v>
      </c>
      <c r="N57" s="108">
        <v>0</v>
      </c>
      <c r="O57" s="108">
        <v>192</v>
      </c>
      <c r="P57" s="108">
        <v>2342.86</v>
      </c>
      <c r="Q57" s="108">
        <v>11521</v>
      </c>
      <c r="R57" s="108">
        <v>9160.44</v>
      </c>
      <c r="S57" s="108">
        <v>19492</v>
      </c>
      <c r="T57" s="108">
        <v>34434.31</v>
      </c>
      <c r="U57" s="108">
        <f t="shared" si="2"/>
        <v>31205</v>
      </c>
      <c r="V57" s="108">
        <f t="shared" si="3"/>
        <v>45937.61</v>
      </c>
      <c r="W57" s="120">
        <f>'Pri Sec_outstanding_6'!P57</f>
        <v>353384.08</v>
      </c>
      <c r="X57" s="120">
        <f t="shared" si="4"/>
        <v>399321.69</v>
      </c>
      <c r="Y57" s="120">
        <f>'CD Ratio_3(i)'!F57</f>
        <v>399321.2</v>
      </c>
      <c r="Z57" s="120">
        <f t="shared" si="5"/>
        <v>0.48999999999068677</v>
      </c>
    </row>
    <row r="58" spans="1:26" ht="15" customHeight="1" x14ac:dyDescent="0.2">
      <c r="A58" s="131">
        <v>49</v>
      </c>
      <c r="B58" s="128" t="s">
        <v>230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f t="shared" si="0"/>
        <v>0</v>
      </c>
      <c r="L58" s="108">
        <f t="shared" si="1"/>
        <v>0</v>
      </c>
      <c r="M58" s="108">
        <v>0</v>
      </c>
      <c r="N58" s="108">
        <v>0</v>
      </c>
      <c r="O58" s="108">
        <v>4</v>
      </c>
      <c r="P58" s="108">
        <v>101</v>
      </c>
      <c r="Q58" s="108">
        <v>6743</v>
      </c>
      <c r="R58" s="108">
        <v>5683</v>
      </c>
      <c r="S58" s="108">
        <v>15123</v>
      </c>
      <c r="T58" s="108">
        <v>12358</v>
      </c>
      <c r="U58" s="108">
        <f t="shared" si="2"/>
        <v>21870</v>
      </c>
      <c r="V58" s="108">
        <f t="shared" si="3"/>
        <v>18142</v>
      </c>
      <c r="W58" s="120">
        <f>'Pri Sec_outstanding_6'!P58</f>
        <v>243312</v>
      </c>
      <c r="X58" s="120">
        <f t="shared" si="4"/>
        <v>261454</v>
      </c>
      <c r="Y58" s="120">
        <f>'CD Ratio_3(i)'!F58</f>
        <v>261454</v>
      </c>
      <c r="Z58" s="120">
        <f t="shared" si="5"/>
        <v>0</v>
      </c>
    </row>
    <row r="59" spans="1:26" ht="15" customHeight="1" x14ac:dyDescent="0.2">
      <c r="A59" s="131">
        <v>50</v>
      </c>
      <c r="B59" s="128" t="s">
        <v>53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f t="shared" si="0"/>
        <v>0</v>
      </c>
      <c r="L59" s="108">
        <f t="shared" si="1"/>
        <v>0</v>
      </c>
      <c r="M59" s="108">
        <v>0</v>
      </c>
      <c r="N59" s="108">
        <v>0</v>
      </c>
      <c r="O59" s="108">
        <v>0</v>
      </c>
      <c r="P59" s="108">
        <v>0</v>
      </c>
      <c r="Q59" s="108">
        <v>0</v>
      </c>
      <c r="R59" s="108">
        <v>0</v>
      </c>
      <c r="S59" s="108">
        <v>22978</v>
      </c>
      <c r="T59" s="108">
        <f>37729.96-6568</f>
        <v>31161.96</v>
      </c>
      <c r="U59" s="108">
        <f t="shared" si="2"/>
        <v>22978</v>
      </c>
      <c r="V59" s="108">
        <f t="shared" si="3"/>
        <v>31161.96</v>
      </c>
      <c r="W59" s="120">
        <f>'Pri Sec_outstanding_6'!P59</f>
        <v>414695.97</v>
      </c>
      <c r="X59" s="120">
        <f t="shared" si="4"/>
        <v>445857.93</v>
      </c>
      <c r="Y59" s="120">
        <f>'CD Ratio_3(i)'!F59</f>
        <v>445858</v>
      </c>
      <c r="Z59" s="120">
        <f t="shared" si="5"/>
        <v>-7.0000000006984919E-2</v>
      </c>
    </row>
    <row r="60" spans="1:26" s="121" customFormat="1" x14ac:dyDescent="0.2">
      <c r="A60" s="271"/>
      <c r="B60" s="115" t="s">
        <v>415</v>
      </c>
      <c r="C60" s="115">
        <f>SUM(C57:C59)</f>
        <v>0</v>
      </c>
      <c r="D60" s="115">
        <f t="shared" ref="D60:T60" si="9">SUM(D57:D59)</f>
        <v>0</v>
      </c>
      <c r="E60" s="115">
        <f t="shared" si="9"/>
        <v>0</v>
      </c>
      <c r="F60" s="115">
        <f t="shared" si="9"/>
        <v>0</v>
      </c>
      <c r="G60" s="115">
        <f t="shared" si="9"/>
        <v>0</v>
      </c>
      <c r="H60" s="115">
        <f t="shared" si="9"/>
        <v>0</v>
      </c>
      <c r="I60" s="115">
        <f t="shared" si="9"/>
        <v>0</v>
      </c>
      <c r="J60" s="115">
        <f t="shared" si="9"/>
        <v>0</v>
      </c>
      <c r="K60" s="115">
        <f t="shared" si="9"/>
        <v>0</v>
      </c>
      <c r="L60" s="115">
        <f t="shared" si="9"/>
        <v>0</v>
      </c>
      <c r="M60" s="115">
        <f t="shared" si="9"/>
        <v>0</v>
      </c>
      <c r="N60" s="115">
        <f t="shared" si="9"/>
        <v>0</v>
      </c>
      <c r="O60" s="115">
        <f t="shared" si="9"/>
        <v>196</v>
      </c>
      <c r="P60" s="115">
        <f t="shared" si="9"/>
        <v>2443.86</v>
      </c>
      <c r="Q60" s="115">
        <f t="shared" si="9"/>
        <v>18264</v>
      </c>
      <c r="R60" s="115">
        <f t="shared" si="9"/>
        <v>14843.44</v>
      </c>
      <c r="S60" s="115">
        <f t="shared" si="9"/>
        <v>57593</v>
      </c>
      <c r="T60" s="115">
        <f t="shared" si="9"/>
        <v>77954.26999999999</v>
      </c>
      <c r="U60" s="115">
        <f t="shared" si="2"/>
        <v>76053</v>
      </c>
      <c r="V60" s="115">
        <f t="shared" si="3"/>
        <v>95241.569999999992</v>
      </c>
      <c r="W60" s="120">
        <f>'Pri Sec_outstanding_6'!P60</f>
        <v>1011392.05</v>
      </c>
      <c r="X60" s="120">
        <f t="shared" si="4"/>
        <v>1106633.6200000001</v>
      </c>
      <c r="Y60" s="120">
        <f>'CD Ratio_3(i)'!F60</f>
        <v>1106633.2</v>
      </c>
      <c r="Z60" s="120">
        <f t="shared" si="5"/>
        <v>0.42000000015832484</v>
      </c>
    </row>
    <row r="61" spans="1:26" x14ac:dyDescent="0.2">
      <c r="A61" s="131">
        <v>51</v>
      </c>
      <c r="B61" s="108" t="s">
        <v>409</v>
      </c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f t="shared" si="0"/>
        <v>0</v>
      </c>
      <c r="L61" s="108">
        <f t="shared" si="1"/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f t="shared" si="2"/>
        <v>0</v>
      </c>
      <c r="V61" s="108">
        <f t="shared" si="3"/>
        <v>0</v>
      </c>
      <c r="W61" s="120">
        <f>'Pri Sec_outstanding_6'!P61</f>
        <v>1860135.99</v>
      </c>
      <c r="X61" s="120">
        <f t="shared" si="4"/>
        <v>1860135.99</v>
      </c>
      <c r="Y61" s="120">
        <f>'CD Ratio_3(i)'!F61</f>
        <v>1860135.99</v>
      </c>
      <c r="Z61" s="120">
        <f t="shared" si="5"/>
        <v>0</v>
      </c>
    </row>
    <row r="62" spans="1:26" s="121" customFormat="1" x14ac:dyDescent="0.2">
      <c r="A62" s="271"/>
      <c r="B62" s="115" t="s">
        <v>410</v>
      </c>
      <c r="C62" s="115">
        <f>C61</f>
        <v>0</v>
      </c>
      <c r="D62" s="115">
        <f t="shared" ref="D62:T62" si="10">D61</f>
        <v>0</v>
      </c>
      <c r="E62" s="115">
        <f t="shared" si="10"/>
        <v>0</v>
      </c>
      <c r="F62" s="115">
        <f t="shared" si="10"/>
        <v>0</v>
      </c>
      <c r="G62" s="115">
        <f t="shared" si="10"/>
        <v>0</v>
      </c>
      <c r="H62" s="115">
        <f t="shared" si="10"/>
        <v>0</v>
      </c>
      <c r="I62" s="115">
        <f t="shared" si="10"/>
        <v>0</v>
      </c>
      <c r="J62" s="115">
        <f t="shared" si="10"/>
        <v>0</v>
      </c>
      <c r="K62" s="115">
        <f t="shared" si="10"/>
        <v>0</v>
      </c>
      <c r="L62" s="115">
        <f t="shared" si="10"/>
        <v>0</v>
      </c>
      <c r="M62" s="115">
        <f t="shared" si="10"/>
        <v>0</v>
      </c>
      <c r="N62" s="115">
        <f t="shared" si="10"/>
        <v>0</v>
      </c>
      <c r="O62" s="115">
        <f t="shared" si="10"/>
        <v>0</v>
      </c>
      <c r="P62" s="115">
        <f t="shared" si="10"/>
        <v>0</v>
      </c>
      <c r="Q62" s="115">
        <f t="shared" si="10"/>
        <v>0</v>
      </c>
      <c r="R62" s="115">
        <f t="shared" si="10"/>
        <v>0</v>
      </c>
      <c r="S62" s="115">
        <f t="shared" si="10"/>
        <v>0</v>
      </c>
      <c r="T62" s="115">
        <f t="shared" si="10"/>
        <v>0</v>
      </c>
      <c r="U62" s="115">
        <f t="shared" si="2"/>
        <v>0</v>
      </c>
      <c r="V62" s="115">
        <f t="shared" si="3"/>
        <v>0</v>
      </c>
      <c r="W62" s="120">
        <f>'Pri Sec_outstanding_6'!P62</f>
        <v>1860135.99</v>
      </c>
      <c r="X62" s="120">
        <f t="shared" si="4"/>
        <v>1860135.99</v>
      </c>
      <c r="Y62" s="120">
        <f>'CD Ratio_3(i)'!F62</f>
        <v>1860135.99</v>
      </c>
      <c r="Z62" s="120">
        <f t="shared" si="5"/>
        <v>0</v>
      </c>
    </row>
    <row r="63" spans="1:26" s="121" customFormat="1" x14ac:dyDescent="0.2">
      <c r="A63" s="271"/>
      <c r="B63" s="115" t="s">
        <v>411</v>
      </c>
      <c r="C63" s="115">
        <f>C62+C60+C56+C33</f>
        <v>17024</v>
      </c>
      <c r="D63" s="115">
        <f t="shared" ref="D63:T63" si="11">D62+D60+D56+D33</f>
        <v>143174.93</v>
      </c>
      <c r="E63" s="115">
        <f t="shared" si="11"/>
        <v>8782</v>
      </c>
      <c r="F63" s="115">
        <f t="shared" si="11"/>
        <v>57723.229999999996</v>
      </c>
      <c r="G63" s="115">
        <f t="shared" si="11"/>
        <v>995</v>
      </c>
      <c r="H63" s="115">
        <f t="shared" si="11"/>
        <v>135477.49</v>
      </c>
      <c r="I63" s="115">
        <f t="shared" si="11"/>
        <v>657</v>
      </c>
      <c r="J63" s="115">
        <f t="shared" si="11"/>
        <v>335324.09999999998</v>
      </c>
      <c r="K63" s="115">
        <f t="shared" si="11"/>
        <v>10434</v>
      </c>
      <c r="L63" s="115">
        <f t="shared" si="11"/>
        <v>528524.81999999995</v>
      </c>
      <c r="M63" s="115">
        <f t="shared" si="11"/>
        <v>3464</v>
      </c>
      <c r="N63" s="115">
        <f t="shared" si="11"/>
        <v>33990.51</v>
      </c>
      <c r="O63" s="115">
        <f t="shared" si="11"/>
        <v>29251</v>
      </c>
      <c r="P63" s="115">
        <f t="shared" si="11"/>
        <v>697837.15999999992</v>
      </c>
      <c r="Q63" s="115">
        <f t="shared" si="11"/>
        <v>177590</v>
      </c>
      <c r="R63" s="115">
        <f t="shared" si="11"/>
        <v>1016244.6200000001</v>
      </c>
      <c r="S63" s="115">
        <f t="shared" si="11"/>
        <v>293329</v>
      </c>
      <c r="T63" s="115">
        <f t="shared" si="11"/>
        <v>5709857.4900000002</v>
      </c>
      <c r="U63" s="115">
        <f t="shared" si="2"/>
        <v>531092</v>
      </c>
      <c r="V63" s="115">
        <f t="shared" si="3"/>
        <v>8129629.5300000003</v>
      </c>
      <c r="W63" s="120">
        <f>'Pri Sec_outstanding_6'!P63</f>
        <v>13874612.982609699</v>
      </c>
      <c r="X63" s="120">
        <f t="shared" si="4"/>
        <v>22004242.512609698</v>
      </c>
      <c r="Y63" s="120">
        <f>'CD Ratio_3(i)'!F63</f>
        <v>22004242.350000001</v>
      </c>
      <c r="Z63" s="120">
        <f t="shared" si="5"/>
        <v>0.16260969638824463</v>
      </c>
    </row>
    <row r="65" spans="17:17" x14ac:dyDescent="0.2">
      <c r="Q65" s="120">
        <v>216836</v>
      </c>
    </row>
    <row r="66" spans="17:17" x14ac:dyDescent="0.2">
      <c r="Q66" s="120">
        <f>Q65-Q63</f>
        <v>39246</v>
      </c>
    </row>
  </sheetData>
  <mergeCells count="15">
    <mergeCell ref="A1:V1"/>
    <mergeCell ref="A2:A5"/>
    <mergeCell ref="B2:B5"/>
    <mergeCell ref="C2:V2"/>
    <mergeCell ref="C3:D4"/>
    <mergeCell ref="E3:L3"/>
    <mergeCell ref="M3:N4"/>
    <mergeCell ref="O3:P4"/>
    <mergeCell ref="Q3:R4"/>
    <mergeCell ref="S3:T4"/>
    <mergeCell ref="U3:V4"/>
    <mergeCell ref="E4:F4"/>
    <mergeCell ref="G4:H4"/>
    <mergeCell ref="I4:J4"/>
    <mergeCell ref="K4:L4"/>
  </mergeCells>
  <conditionalFormatting sqref="B6">
    <cfRule type="duplicateValues" dxfId="148" priority="3"/>
  </conditionalFormatting>
  <conditionalFormatting sqref="B22">
    <cfRule type="duplicateValues" dxfId="147" priority="4"/>
  </conditionalFormatting>
  <conditionalFormatting sqref="B33:B34 B26:B30">
    <cfRule type="duplicateValues" dxfId="146" priority="5"/>
  </conditionalFormatting>
  <conditionalFormatting sqref="B52">
    <cfRule type="duplicateValues" dxfId="145" priority="6"/>
  </conditionalFormatting>
  <conditionalFormatting sqref="B56">
    <cfRule type="duplicateValues" dxfId="144" priority="7"/>
  </conditionalFormatting>
  <conditionalFormatting sqref="B58">
    <cfRule type="duplicateValues" dxfId="143" priority="8"/>
  </conditionalFormatting>
  <conditionalFormatting sqref="Z1:Z1048576">
    <cfRule type="cellIs" dxfId="142" priority="1" operator="lessThan">
      <formula>0</formula>
    </cfRule>
    <cfRule type="cellIs" dxfId="141" priority="2" operator="greaterThan">
      <formula>0</formula>
    </cfRule>
  </conditionalFormatting>
  <pageMargins left="0.7" right="0.7" top="0.25" bottom="0.2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27</vt:i4>
      </vt:variant>
    </vt:vector>
  </HeadingPairs>
  <TitlesOfParts>
    <vt:vector size="56" baseType="lpstr">
      <vt:lpstr>Branch ATM_1</vt:lpstr>
      <vt:lpstr>CD Ratio_2</vt:lpstr>
      <vt:lpstr>CD Ratio_3(i)</vt:lpstr>
      <vt:lpstr>CD Ratio_Dist_3(ii)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Brick&amp; mortar_25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Ratio_Dist_3(ii)'!Print_Area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SCST_OS_22!Print_Area</vt:lpstr>
      <vt:lpstr>SHGs_19!Print_Area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2017-02-09T05:14:50Z</dcterms:modified>
</cp:coreProperties>
</file>